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730"/>
  <workbookPr/>
  <mc:AlternateContent xmlns:mc="http://schemas.openxmlformats.org/markup-compatibility/2006">
    <mc:Choice Requires="x15">
      <x15ac:absPath xmlns:x15ac="http://schemas.microsoft.com/office/spreadsheetml/2010/11/ac" url="C:\Users\Gerson\Documents\001 Meus documentos\WONDERFOUL\2017\11_2017\Demonstrações Contábeis\"/>
    </mc:Choice>
  </mc:AlternateContent>
  <bookViews>
    <workbookView xWindow="0" yWindow="0" windowWidth="20490" windowHeight="7455" tabRatio="367" firstSheet="6" activeTab="7" xr2:uid="{00000000-000D-0000-FFFF-FFFF00000000}"/>
  </bookViews>
  <sheets>
    <sheet name="2010" sheetId="4" r:id="rId1"/>
    <sheet name="2010 atual" sheetId="1" r:id="rId2"/>
    <sheet name="2011 mesal " sheetId="5" r:id="rId3"/>
    <sheet name="2011 acumulada" sheetId="6" r:id="rId4"/>
    <sheet name="2014 acumulada" sheetId="7" r:id="rId5"/>
    <sheet name="2015Acumulada" sheetId="8" r:id="rId6"/>
    <sheet name="2016 Acumulada" sheetId="9" r:id="rId7"/>
    <sheet name="2017 Acumulada " sheetId="10" r:id="rId8"/>
    <sheet name="Planilha2" sheetId="2" r:id="rId9"/>
    <sheet name="Planilha3" sheetId="3" r:id="rId10"/>
  </sheets>
  <definedNames>
    <definedName name="_xlnm.Print_Area" localSheetId="1">'2010 atual'!$B$1:$N$36</definedName>
    <definedName name="_xlnm.Print_Area" localSheetId="3">'2011 acumulada'!$B$1:$N$36</definedName>
    <definedName name="_xlnm.Print_Area" localSheetId="2">'2011 mesal '!$B$1:$N$36</definedName>
    <definedName name="_xlnm.Print_Area" localSheetId="4">'2014 acumulada'!$B$2:$N$40</definedName>
    <definedName name="_xlnm.Print_Area" localSheetId="5">'2015Acumulada'!$B$2:$N$40</definedName>
    <definedName name="_xlnm.Print_Area" localSheetId="6">'2016 Acumulada'!$B$2:$N$40</definedName>
    <definedName name="_xlnm.Print_Area" localSheetId="7">'2017 Acumulada '!$B$2:$N$40</definedName>
    <definedName name="_xlnm.Print_Area" localSheetId="8">Planilha2!$A$2:$C$34</definedName>
  </definedNames>
  <calcPr calcId="171027"/>
</workbook>
</file>

<file path=xl/calcChain.xml><?xml version="1.0" encoding="utf-8"?>
<calcChain xmlns="http://schemas.openxmlformats.org/spreadsheetml/2006/main">
  <c r="M16" i="10" l="1"/>
  <c r="L16" i="10" l="1"/>
  <c r="K14" i="10" l="1"/>
  <c r="K16" i="10"/>
  <c r="J16" i="10"/>
  <c r="I16" i="10" l="1"/>
  <c r="I14" i="10" s="1"/>
  <c r="H22" i="10" l="1"/>
  <c r="H16" i="10"/>
  <c r="G16" i="10" l="1"/>
  <c r="F16" i="10" l="1"/>
  <c r="E16" i="10"/>
  <c r="D16" i="10" l="1"/>
  <c r="C16" i="10" l="1"/>
  <c r="C14" i="10" s="1"/>
  <c r="N14" i="10"/>
  <c r="M14" i="10"/>
  <c r="L14" i="10"/>
  <c r="J14" i="10"/>
  <c r="H14" i="10"/>
  <c r="G14" i="10"/>
  <c r="F14" i="10"/>
  <c r="E14" i="10"/>
  <c r="L34" i="10"/>
  <c r="J34" i="10"/>
  <c r="J32" i="10" s="1"/>
  <c r="I34" i="10"/>
  <c r="F34" i="10"/>
  <c r="F32" i="10" s="1"/>
  <c r="E34" i="10"/>
  <c r="N33" i="10"/>
  <c r="M33" i="10"/>
  <c r="L33" i="10"/>
  <c r="K33" i="10"/>
  <c r="J33" i="10"/>
  <c r="I33" i="10"/>
  <c r="H33" i="10"/>
  <c r="G33" i="10"/>
  <c r="F33" i="10"/>
  <c r="D33" i="10"/>
  <c r="C33" i="10"/>
  <c r="L32" i="10"/>
  <c r="I32" i="10"/>
  <c r="E32" i="10"/>
  <c r="N30" i="10"/>
  <c r="M30" i="10"/>
  <c r="L30" i="10"/>
  <c r="K30" i="10"/>
  <c r="J30" i="10"/>
  <c r="I30" i="10"/>
  <c r="H30" i="10"/>
  <c r="G30" i="10"/>
  <c r="F30" i="10"/>
  <c r="E30" i="10"/>
  <c r="C30" i="10"/>
  <c r="N28" i="10"/>
  <c r="M28" i="10"/>
  <c r="L28" i="10"/>
  <c r="K28" i="10"/>
  <c r="J28" i="10"/>
  <c r="I28" i="10"/>
  <c r="H28" i="10"/>
  <c r="G28" i="10"/>
  <c r="F28" i="10"/>
  <c r="E28" i="10"/>
  <c r="D28" i="10"/>
  <c r="C28" i="10"/>
  <c r="N27" i="10"/>
  <c r="N29" i="10" s="1"/>
  <c r="N31" i="10" s="1"/>
  <c r="M27" i="10"/>
  <c r="M29" i="10" s="1"/>
  <c r="M31" i="10" s="1"/>
  <c r="L27" i="10"/>
  <c r="K27" i="10"/>
  <c r="K29" i="10" s="1"/>
  <c r="J27" i="10"/>
  <c r="I27" i="10"/>
  <c r="H27" i="10"/>
  <c r="H29" i="10" s="1"/>
  <c r="F27" i="10"/>
  <c r="E27" i="10"/>
  <c r="D27" i="10"/>
  <c r="C27" i="10"/>
  <c r="B26" i="10"/>
  <c r="M34" i="10"/>
  <c r="M32" i="10" s="1"/>
  <c r="K34" i="10"/>
  <c r="K32" i="10" s="1"/>
  <c r="H34" i="10"/>
  <c r="H32" i="10" s="1"/>
  <c r="G34" i="10"/>
  <c r="G32" i="10" s="1"/>
  <c r="D34" i="10"/>
  <c r="D32" i="10" s="1"/>
  <c r="C34" i="10"/>
  <c r="C32" i="10" s="1"/>
  <c r="D14" i="10"/>
  <c r="D30" i="10"/>
  <c r="N11" i="10"/>
  <c r="N13" i="10" s="1"/>
  <c r="M11" i="10"/>
  <c r="M13" i="10" s="1"/>
  <c r="L11" i="10"/>
  <c r="L13" i="10" s="1"/>
  <c r="K11" i="10"/>
  <c r="K13" i="10" s="1"/>
  <c r="J11" i="10"/>
  <c r="J13" i="10" s="1"/>
  <c r="I11" i="10"/>
  <c r="I13" i="10" s="1"/>
  <c r="I19" i="10" s="1"/>
  <c r="I21" i="10" s="1"/>
  <c r="I23" i="10" s="1"/>
  <c r="H11" i="10"/>
  <c r="H13" i="10" s="1"/>
  <c r="H19" i="10" s="1"/>
  <c r="H21" i="10" s="1"/>
  <c r="H23" i="10" s="1"/>
  <c r="F11" i="10"/>
  <c r="F13" i="10" s="1"/>
  <c r="E11" i="10"/>
  <c r="E13" i="10" s="1"/>
  <c r="D11" i="10"/>
  <c r="D13" i="10" s="1"/>
  <c r="C11" i="10"/>
  <c r="C13" i="10" s="1"/>
  <c r="G11" i="10"/>
  <c r="G13" i="10" s="1"/>
  <c r="L29" i="10" l="1"/>
  <c r="L31" i="10" s="1"/>
  <c r="L35" i="10" s="1"/>
  <c r="L37" i="10" s="1"/>
  <c r="K31" i="10"/>
  <c r="J19" i="10"/>
  <c r="J21" i="10" s="1"/>
  <c r="J23" i="10" s="1"/>
  <c r="J29" i="10"/>
  <c r="J31" i="10" s="1"/>
  <c r="J35" i="10" s="1"/>
  <c r="J37" i="10" s="1"/>
  <c r="I29" i="10"/>
  <c r="I31" i="10" s="1"/>
  <c r="F19" i="10"/>
  <c r="F21" i="10" s="1"/>
  <c r="F23" i="10" s="1"/>
  <c r="F29" i="10"/>
  <c r="F31" i="10" s="1"/>
  <c r="F35" i="10" s="1"/>
  <c r="F37" i="10" s="1"/>
  <c r="E29" i="10"/>
  <c r="E31" i="10" s="1"/>
  <c r="E35" i="10" s="1"/>
  <c r="E37" i="10" s="1"/>
  <c r="D29" i="10"/>
  <c r="D31" i="10" s="1"/>
  <c r="D35" i="10" s="1"/>
  <c r="D37" i="10" s="1"/>
  <c r="C19" i="10"/>
  <c r="C21" i="10" s="1"/>
  <c r="C23" i="10" s="1"/>
  <c r="C29" i="10"/>
  <c r="C31" i="10" s="1"/>
  <c r="C35" i="10" s="1"/>
  <c r="C37" i="10" s="1"/>
  <c r="E19" i="10"/>
  <c r="E21" i="10" s="1"/>
  <c r="E23" i="10" s="1"/>
  <c r="L19" i="10"/>
  <c r="L21" i="10" s="1"/>
  <c r="L23" i="10" s="1"/>
  <c r="I35" i="10"/>
  <c r="I37" i="10" s="1"/>
  <c r="G19" i="10"/>
  <c r="G21" i="10" s="1"/>
  <c r="G23" i="10" s="1"/>
  <c r="K19" i="10"/>
  <c r="K21" i="10" s="1"/>
  <c r="K23" i="10" s="1"/>
  <c r="D19" i="10"/>
  <c r="D21" i="10" s="1"/>
  <c r="D23" i="10" s="1"/>
  <c r="H31" i="10"/>
  <c r="H35" i="10" s="1"/>
  <c r="H37" i="10" s="1"/>
  <c r="N19" i="10"/>
  <c r="N21" i="10" s="1"/>
  <c r="N23" i="10" s="1"/>
  <c r="M35" i="10"/>
  <c r="M37" i="10" s="1"/>
  <c r="K35" i="10"/>
  <c r="K37" i="10" s="1"/>
  <c r="N34" i="10"/>
  <c r="N32" i="10" s="1"/>
  <c r="N35" i="10" s="1"/>
  <c r="N37" i="10" s="1"/>
  <c r="M19" i="10"/>
  <c r="M21" i="10" s="1"/>
  <c r="M23" i="10" s="1"/>
  <c r="P23" i="10" s="1"/>
  <c r="P26" i="10" s="1"/>
  <c r="G27" i="10"/>
  <c r="G29" i="10" s="1"/>
  <c r="G31" i="10" s="1"/>
  <c r="G35" i="10" s="1"/>
  <c r="G37" i="10" s="1"/>
  <c r="N16" i="9"/>
  <c r="J38" i="10" l="1"/>
  <c r="K38" i="10"/>
  <c r="I38" i="10"/>
  <c r="E38" i="10"/>
  <c r="F38" i="10"/>
  <c r="M38" i="10"/>
  <c r="G38" i="10"/>
  <c r="N38" i="10"/>
  <c r="G45" i="10"/>
  <c r="D38" i="10"/>
  <c r="D39" i="10" s="1"/>
  <c r="H38" i="10"/>
  <c r="L38" i="10"/>
  <c r="M16" i="9"/>
  <c r="E39" i="10" l="1"/>
  <c r="D40" i="10"/>
  <c r="K16" i="9"/>
  <c r="F39" i="10" l="1"/>
  <c r="E40" i="10"/>
  <c r="I16" i="9"/>
  <c r="I14" i="9" s="1"/>
  <c r="F40" i="10" l="1"/>
  <c r="G39" i="10"/>
  <c r="H16" i="9"/>
  <c r="G40" i="10" l="1"/>
  <c r="H39" i="10"/>
  <c r="G16" i="9"/>
  <c r="G8" i="9"/>
  <c r="H40" i="10" l="1"/>
  <c r="I39" i="10"/>
  <c r="F16" i="9"/>
  <c r="J39" i="10" l="1"/>
  <c r="I40" i="10"/>
  <c r="E16" i="9"/>
  <c r="J40" i="10" l="1"/>
  <c r="K39" i="10"/>
  <c r="D16" i="9"/>
  <c r="D12" i="9"/>
  <c r="D20" i="9"/>
  <c r="D14" i="9"/>
  <c r="K40" i="10" l="1"/>
  <c r="L39" i="10"/>
  <c r="C16" i="9"/>
  <c r="E14" i="9"/>
  <c r="M34" i="9"/>
  <c r="M32" i="9" s="1"/>
  <c r="I34" i="9"/>
  <c r="E34" i="9"/>
  <c r="N33" i="9"/>
  <c r="M33" i="9"/>
  <c r="L33" i="9"/>
  <c r="K33" i="9"/>
  <c r="J33" i="9"/>
  <c r="I33" i="9"/>
  <c r="H33" i="9"/>
  <c r="G33" i="9"/>
  <c r="F33" i="9"/>
  <c r="E33" i="9"/>
  <c r="D33" i="9"/>
  <c r="C33" i="9"/>
  <c r="I32" i="9"/>
  <c r="E32" i="9"/>
  <c r="N30" i="9"/>
  <c r="M30" i="9"/>
  <c r="L30" i="9"/>
  <c r="K30" i="9"/>
  <c r="J30" i="9"/>
  <c r="I30" i="9"/>
  <c r="H30" i="9"/>
  <c r="G30" i="9"/>
  <c r="F30" i="9"/>
  <c r="E30" i="9"/>
  <c r="D30" i="9"/>
  <c r="C30" i="9"/>
  <c r="N28" i="9"/>
  <c r="M28" i="9"/>
  <c r="L28" i="9"/>
  <c r="K28" i="9"/>
  <c r="J28" i="9"/>
  <c r="I28" i="9"/>
  <c r="H28" i="9"/>
  <c r="G28" i="9"/>
  <c r="F28" i="9"/>
  <c r="E28" i="9"/>
  <c r="D28" i="9"/>
  <c r="C28" i="9"/>
  <c r="N27" i="9"/>
  <c r="M27" i="9"/>
  <c r="M29" i="9" s="1"/>
  <c r="M31" i="9" s="1"/>
  <c r="L27" i="9"/>
  <c r="L29" i="9" s="1"/>
  <c r="K27" i="9"/>
  <c r="K29" i="9" s="1"/>
  <c r="K31" i="9" s="1"/>
  <c r="J27" i="9"/>
  <c r="I27" i="9"/>
  <c r="I29" i="9" s="1"/>
  <c r="I31" i="9" s="1"/>
  <c r="H27" i="9"/>
  <c r="G27" i="9"/>
  <c r="G29" i="9" s="1"/>
  <c r="F27" i="9"/>
  <c r="E27" i="9"/>
  <c r="E29" i="9" s="1"/>
  <c r="E31" i="9" s="1"/>
  <c r="D27" i="9"/>
  <c r="C27" i="9"/>
  <c r="C29" i="9" s="1"/>
  <c r="B26" i="9"/>
  <c r="N34" i="9"/>
  <c r="N32" i="9" s="1"/>
  <c r="L34" i="9"/>
  <c r="K34" i="9"/>
  <c r="K32" i="9" s="1"/>
  <c r="J34" i="9"/>
  <c r="J32" i="9" s="1"/>
  <c r="H34" i="9"/>
  <c r="H32" i="9" s="1"/>
  <c r="G34" i="9"/>
  <c r="G32" i="9" s="1"/>
  <c r="F34" i="9"/>
  <c r="F32" i="9" s="1"/>
  <c r="D34" i="9"/>
  <c r="C34" i="9"/>
  <c r="C32" i="9" s="1"/>
  <c r="N14" i="9"/>
  <c r="M14" i="9"/>
  <c r="L14" i="9"/>
  <c r="J14" i="9"/>
  <c r="H14" i="9"/>
  <c r="G14" i="9"/>
  <c r="C14" i="9"/>
  <c r="N11" i="9"/>
  <c r="N13" i="9" s="1"/>
  <c r="M11" i="9"/>
  <c r="M13" i="9" s="1"/>
  <c r="L11" i="9"/>
  <c r="L13" i="9" s="1"/>
  <c r="K11" i="9"/>
  <c r="K13" i="9" s="1"/>
  <c r="J11" i="9"/>
  <c r="J13" i="9" s="1"/>
  <c r="I11" i="9"/>
  <c r="I13" i="9" s="1"/>
  <c r="I19" i="9" s="1"/>
  <c r="I21" i="9" s="1"/>
  <c r="I23" i="9" s="1"/>
  <c r="H11" i="9"/>
  <c r="H13" i="9" s="1"/>
  <c r="G11" i="9"/>
  <c r="G13" i="9" s="1"/>
  <c r="F11" i="9"/>
  <c r="F13" i="9" s="1"/>
  <c r="E11" i="9"/>
  <c r="E13" i="9" s="1"/>
  <c r="E19" i="9" s="1"/>
  <c r="E21" i="9" s="1"/>
  <c r="E23" i="9" s="1"/>
  <c r="D11" i="9"/>
  <c r="D13" i="9" s="1"/>
  <c r="D19" i="9" s="1"/>
  <c r="D21" i="9" s="1"/>
  <c r="D23" i="9" s="1"/>
  <c r="C11" i="9"/>
  <c r="C13" i="9" s="1"/>
  <c r="M39" i="10" l="1"/>
  <c r="L40" i="10"/>
  <c r="L32" i="9"/>
  <c r="J29" i="9"/>
  <c r="J31" i="9" s="1"/>
  <c r="H29" i="9"/>
  <c r="H31" i="9" s="1"/>
  <c r="G31" i="9"/>
  <c r="F29" i="9"/>
  <c r="F31" i="9" s="1"/>
  <c r="F35" i="9" s="1"/>
  <c r="F37" i="9" s="1"/>
  <c r="E35" i="9"/>
  <c r="E37" i="9" s="1"/>
  <c r="D32" i="9"/>
  <c r="D29" i="9"/>
  <c r="D31" i="9" s="1"/>
  <c r="C19" i="9"/>
  <c r="C21" i="9" s="1"/>
  <c r="C23" i="9" s="1"/>
  <c r="C31" i="9"/>
  <c r="N19" i="9"/>
  <c r="N21" i="9" s="1"/>
  <c r="N23" i="9" s="1"/>
  <c r="M19" i="9"/>
  <c r="M21" i="9" s="1"/>
  <c r="M23" i="9" s="1"/>
  <c r="P23" i="9" s="1"/>
  <c r="P26" i="9" s="1"/>
  <c r="M35" i="9"/>
  <c r="M37" i="9" s="1"/>
  <c r="L19" i="9"/>
  <c r="L21" i="9" s="1"/>
  <c r="L23" i="9" s="1"/>
  <c r="J19" i="9"/>
  <c r="J21" i="9" s="1"/>
  <c r="J23" i="9" s="1"/>
  <c r="I35" i="9"/>
  <c r="I37" i="9" s="1"/>
  <c r="H19" i="9"/>
  <c r="H21" i="9" s="1"/>
  <c r="H23" i="9" s="1"/>
  <c r="G19" i="9"/>
  <c r="G21" i="9" s="1"/>
  <c r="G23" i="9" s="1"/>
  <c r="L31" i="9"/>
  <c r="N29" i="9"/>
  <c r="N31" i="9" s="1"/>
  <c r="N35" i="9" s="1"/>
  <c r="N37" i="9" s="1"/>
  <c r="J35" i="9"/>
  <c r="J37" i="9" s="1"/>
  <c r="C35" i="9"/>
  <c r="C37" i="9" s="1"/>
  <c r="G35" i="9"/>
  <c r="G37" i="9" s="1"/>
  <c r="K35" i="9"/>
  <c r="K37" i="9" s="1"/>
  <c r="H35" i="9"/>
  <c r="H37" i="9" s="1"/>
  <c r="L35" i="9"/>
  <c r="L37" i="9" s="1"/>
  <c r="F14" i="9"/>
  <c r="F19" i="9" s="1"/>
  <c r="F21" i="9" s="1"/>
  <c r="F23" i="9" s="1"/>
  <c r="K14" i="9"/>
  <c r="K19" i="9" s="1"/>
  <c r="K21" i="9" s="1"/>
  <c r="K23" i="9" s="1"/>
  <c r="N22" i="8"/>
  <c r="N16" i="8"/>
  <c r="N39" i="10" l="1"/>
  <c r="N40" i="10" s="1"/>
  <c r="M40" i="10"/>
  <c r="N38" i="9"/>
  <c r="G38" i="9"/>
  <c r="F38" i="9"/>
  <c r="D35" i="9"/>
  <c r="D37" i="9" s="1"/>
  <c r="M38" i="9"/>
  <c r="J38" i="9"/>
  <c r="L38" i="9"/>
  <c r="H38" i="9"/>
  <c r="G45" i="9"/>
  <c r="D38" i="9"/>
  <c r="D39" i="9" s="1"/>
  <c r="K38" i="9"/>
  <c r="I38" i="9"/>
  <c r="E38" i="9"/>
  <c r="M16" i="8"/>
  <c r="M14" i="8"/>
  <c r="E39" i="9" l="1"/>
  <c r="D40" i="9"/>
  <c r="L16" i="8"/>
  <c r="L14" i="8"/>
  <c r="F39" i="9" l="1"/>
  <c r="E40" i="9"/>
  <c r="K16" i="8"/>
  <c r="G39" i="9" l="1"/>
  <c r="F40" i="9"/>
  <c r="J16" i="8"/>
  <c r="J20" i="8"/>
  <c r="G40" i="9" l="1"/>
  <c r="H39" i="9"/>
  <c r="H16" i="8"/>
  <c r="H20" i="8"/>
  <c r="I39" i="9" l="1"/>
  <c r="H40" i="9"/>
  <c r="G16" i="8"/>
  <c r="J39" i="9" l="1"/>
  <c r="I40" i="9"/>
  <c r="F16" i="8"/>
  <c r="J40" i="9" l="1"/>
  <c r="K39" i="9"/>
  <c r="E16" i="8"/>
  <c r="E14" i="8"/>
  <c r="D16" i="8"/>
  <c r="D34" i="8" s="1"/>
  <c r="C16" i="8"/>
  <c r="C34" i="8" s="1"/>
  <c r="D11" i="8"/>
  <c r="D13" i="8" s="1"/>
  <c r="E11" i="8"/>
  <c r="E13" i="8" s="1"/>
  <c r="F11" i="8"/>
  <c r="F13" i="8" s="1"/>
  <c r="G11" i="8"/>
  <c r="H11" i="8"/>
  <c r="H13" i="8" s="1"/>
  <c r="I11" i="8"/>
  <c r="I13" i="8" s="1"/>
  <c r="J11" i="8"/>
  <c r="J13" i="8" s="1"/>
  <c r="K11" i="8"/>
  <c r="K13" i="8" s="1"/>
  <c r="L11" i="8"/>
  <c r="L13" i="8" s="1"/>
  <c r="M11" i="8"/>
  <c r="M13" i="8" s="1"/>
  <c r="N11" i="8"/>
  <c r="N13" i="8" s="1"/>
  <c r="G13" i="8"/>
  <c r="D14" i="8"/>
  <c r="F14" i="8"/>
  <c r="G14" i="8"/>
  <c r="H14" i="8"/>
  <c r="J14" i="8"/>
  <c r="K14" i="8"/>
  <c r="N14" i="8"/>
  <c r="N33" i="8"/>
  <c r="M33" i="8"/>
  <c r="L33" i="8"/>
  <c r="K33" i="8"/>
  <c r="J33" i="8"/>
  <c r="I33" i="8"/>
  <c r="H33" i="8"/>
  <c r="G33" i="8"/>
  <c r="F33" i="8"/>
  <c r="E33" i="8"/>
  <c r="D33" i="8"/>
  <c r="C33" i="8"/>
  <c r="N30" i="8"/>
  <c r="M30" i="8"/>
  <c r="L30" i="8"/>
  <c r="K30" i="8"/>
  <c r="J30" i="8"/>
  <c r="I30" i="8"/>
  <c r="H30" i="8"/>
  <c r="G30" i="8"/>
  <c r="F30" i="8"/>
  <c r="E30" i="8"/>
  <c r="D30" i="8"/>
  <c r="C30" i="8"/>
  <c r="N28" i="8"/>
  <c r="M28" i="8"/>
  <c r="L28" i="8"/>
  <c r="K28" i="8"/>
  <c r="J28" i="8"/>
  <c r="I28" i="8"/>
  <c r="H28" i="8"/>
  <c r="G28" i="8"/>
  <c r="F28" i="8"/>
  <c r="E28" i="8"/>
  <c r="D28" i="8"/>
  <c r="C28" i="8"/>
  <c r="N27" i="8"/>
  <c r="N29" i="8" s="1"/>
  <c r="N31" i="8" s="1"/>
  <c r="M27" i="8"/>
  <c r="M29" i="8" s="1"/>
  <c r="M31" i="8" s="1"/>
  <c r="L27" i="8"/>
  <c r="K27" i="8"/>
  <c r="K29" i="8" s="1"/>
  <c r="K31" i="8" s="1"/>
  <c r="J27" i="8"/>
  <c r="J29" i="8" s="1"/>
  <c r="J31" i="8" s="1"/>
  <c r="I27" i="8"/>
  <c r="I29" i="8" s="1"/>
  <c r="I31" i="8" s="1"/>
  <c r="H27" i="8"/>
  <c r="H29" i="8" s="1"/>
  <c r="H31" i="8" s="1"/>
  <c r="G27" i="8"/>
  <c r="G29" i="8" s="1"/>
  <c r="G31" i="8" s="1"/>
  <c r="F27" i="8"/>
  <c r="F29" i="8" s="1"/>
  <c r="F31" i="8" s="1"/>
  <c r="E27" i="8"/>
  <c r="E29" i="8" s="1"/>
  <c r="E31" i="8" s="1"/>
  <c r="D27" i="8"/>
  <c r="D29" i="8" s="1"/>
  <c r="D31" i="8" s="1"/>
  <c r="C27" i="8"/>
  <c r="C29" i="8" s="1"/>
  <c r="C31" i="8" s="1"/>
  <c r="B26" i="8"/>
  <c r="N34" i="8"/>
  <c r="M34" i="8"/>
  <c r="L34" i="8"/>
  <c r="L32" i="8" s="1"/>
  <c r="K34" i="8"/>
  <c r="K32" i="8" s="1"/>
  <c r="J34" i="8"/>
  <c r="I34" i="8"/>
  <c r="H34" i="8"/>
  <c r="H32" i="8" s="1"/>
  <c r="G34" i="8"/>
  <c r="G32" i="8" s="1"/>
  <c r="F34" i="8"/>
  <c r="C11" i="8"/>
  <c r="C13" i="8" s="1"/>
  <c r="N16" i="7"/>
  <c r="N20" i="7"/>
  <c r="N14" i="7"/>
  <c r="M16" i="7"/>
  <c r="M14" i="7" s="1"/>
  <c r="M20" i="7"/>
  <c r="L20" i="7"/>
  <c r="L16" i="7"/>
  <c r="K16" i="7"/>
  <c r="K14" i="7" s="1"/>
  <c r="K20" i="7"/>
  <c r="J16" i="7"/>
  <c r="J14" i="7" s="1"/>
  <c r="J20" i="7"/>
  <c r="I16" i="7"/>
  <c r="H16" i="7"/>
  <c r="G16" i="7"/>
  <c r="G14" i="7" s="1"/>
  <c r="F16" i="7"/>
  <c r="F14" i="7" s="1"/>
  <c r="E16" i="7"/>
  <c r="E14" i="7" s="1"/>
  <c r="D16" i="7"/>
  <c r="D14" i="7" s="1"/>
  <c r="C16" i="7"/>
  <c r="K40" i="9" l="1"/>
  <c r="L39" i="9"/>
  <c r="C14" i="8"/>
  <c r="F32" i="8"/>
  <c r="J32" i="8"/>
  <c r="N32" i="8"/>
  <c r="N35" i="8" s="1"/>
  <c r="N37" i="8" s="1"/>
  <c r="L29" i="8"/>
  <c r="L31" i="8" s="1"/>
  <c r="D32" i="8"/>
  <c r="C32" i="8"/>
  <c r="E34" i="8"/>
  <c r="E32" i="8" s="1"/>
  <c r="E35" i="8" s="1"/>
  <c r="E37" i="8" s="1"/>
  <c r="L19" i="8"/>
  <c r="L21" i="8" s="1"/>
  <c r="L23" i="8" s="1"/>
  <c r="H19" i="8"/>
  <c r="H21" i="8" s="1"/>
  <c r="H23" i="8" s="1"/>
  <c r="D19" i="8"/>
  <c r="D21" i="8" s="1"/>
  <c r="D23" i="8" s="1"/>
  <c r="K19" i="8"/>
  <c r="K21" i="8" s="1"/>
  <c r="K23" i="8" s="1"/>
  <c r="G19" i="8"/>
  <c r="G21" i="8" s="1"/>
  <c r="G23" i="8" s="1"/>
  <c r="N19" i="8"/>
  <c r="N21" i="8" s="1"/>
  <c r="N23" i="8" s="1"/>
  <c r="J19" i="8"/>
  <c r="J21" i="8" s="1"/>
  <c r="J23" i="8" s="1"/>
  <c r="F19" i="8"/>
  <c r="F21" i="8" s="1"/>
  <c r="F23" i="8" s="1"/>
  <c r="C19" i="8"/>
  <c r="C21" i="8" s="1"/>
  <c r="C23" i="8" s="1"/>
  <c r="I32" i="8"/>
  <c r="I35" i="8" s="1"/>
  <c r="I37" i="8" s="1"/>
  <c r="M32" i="8"/>
  <c r="M35" i="8" s="1"/>
  <c r="M37" i="8" s="1"/>
  <c r="M19" i="8"/>
  <c r="M21" i="8" s="1"/>
  <c r="M23" i="8" s="1"/>
  <c r="P23" i="8" s="1"/>
  <c r="P26" i="8" s="1"/>
  <c r="I19" i="8"/>
  <c r="I21" i="8" s="1"/>
  <c r="I23" i="8" s="1"/>
  <c r="E19" i="8"/>
  <c r="E21" i="8" s="1"/>
  <c r="E23" i="8" s="1"/>
  <c r="C35" i="8"/>
  <c r="C37" i="8" s="1"/>
  <c r="D35" i="8"/>
  <c r="D37" i="8" s="1"/>
  <c r="F35" i="8"/>
  <c r="F37" i="8" s="1"/>
  <c r="G35" i="8"/>
  <c r="G37" i="8" s="1"/>
  <c r="H35" i="8"/>
  <c r="H37" i="8" s="1"/>
  <c r="J35" i="8"/>
  <c r="J37" i="8" s="1"/>
  <c r="K35" i="8"/>
  <c r="K37" i="8" s="1"/>
  <c r="L35" i="8"/>
  <c r="L37" i="8" s="1"/>
  <c r="K34" i="7"/>
  <c r="J34" i="7"/>
  <c r="I34" i="7"/>
  <c r="H34" i="7"/>
  <c r="I11" i="7"/>
  <c r="I13" i="7" s="1"/>
  <c r="B5" i="4"/>
  <c r="C5" i="4"/>
  <c r="D5" i="4"/>
  <c r="E5" i="4"/>
  <c r="F5" i="4"/>
  <c r="G5" i="4"/>
  <c r="H5" i="4"/>
  <c r="I5" i="4"/>
  <c r="J5" i="4"/>
  <c r="K5" i="4"/>
  <c r="L5" i="4"/>
  <c r="M5" i="4"/>
  <c r="B7" i="4"/>
  <c r="C7" i="4"/>
  <c r="D7" i="4"/>
  <c r="D13" i="4" s="1"/>
  <c r="D15" i="4" s="1"/>
  <c r="E7" i="4"/>
  <c r="F7" i="4"/>
  <c r="G7" i="4"/>
  <c r="H7" i="4"/>
  <c r="I7" i="4"/>
  <c r="J7" i="4"/>
  <c r="K7" i="4"/>
  <c r="L7" i="4"/>
  <c r="M7" i="4"/>
  <c r="M13" i="4" s="1"/>
  <c r="M15" i="4" s="1"/>
  <c r="M17" i="4" s="1"/>
  <c r="C8" i="4"/>
  <c r="E8" i="4"/>
  <c r="F8" i="4"/>
  <c r="F13" i="4" s="1"/>
  <c r="F15" i="4" s="1"/>
  <c r="F17" i="4" s="1"/>
  <c r="G8" i="4"/>
  <c r="H8" i="4"/>
  <c r="I8" i="4"/>
  <c r="J8" i="4"/>
  <c r="J13" i="4" s="1"/>
  <c r="K8" i="4"/>
  <c r="L8" i="4"/>
  <c r="M8" i="4"/>
  <c r="B11" i="4"/>
  <c r="B13" i="4"/>
  <c r="B15" i="4" s="1"/>
  <c r="B17" i="4" s="1"/>
  <c r="H13" i="4"/>
  <c r="H15" i="4" s="1"/>
  <c r="H17" i="4" s="1"/>
  <c r="L13" i="4"/>
  <c r="J15" i="4"/>
  <c r="J17" i="4" s="1"/>
  <c r="L15" i="4"/>
  <c r="L17" i="4" s="1"/>
  <c r="D17" i="4"/>
  <c r="A20" i="4"/>
  <c r="B21" i="4"/>
  <c r="C21" i="4"/>
  <c r="D21" i="4"/>
  <c r="E21" i="4"/>
  <c r="F21" i="4"/>
  <c r="G21" i="4"/>
  <c r="H21" i="4"/>
  <c r="I21" i="4"/>
  <c r="J21" i="4"/>
  <c r="K21" i="4"/>
  <c r="L21" i="4"/>
  <c r="M21" i="4"/>
  <c r="B22" i="4"/>
  <c r="C22" i="4"/>
  <c r="D22" i="4"/>
  <c r="E22" i="4"/>
  <c r="F22" i="4"/>
  <c r="G22" i="4"/>
  <c r="H22" i="4"/>
  <c r="I22" i="4"/>
  <c r="J22" i="4"/>
  <c r="K22" i="4"/>
  <c r="L22" i="4"/>
  <c r="M22" i="4"/>
  <c r="B23" i="4"/>
  <c r="C23" i="4"/>
  <c r="D23" i="4"/>
  <c r="E23" i="4"/>
  <c r="F23" i="4"/>
  <c r="G23" i="4"/>
  <c r="H23" i="4"/>
  <c r="I23" i="4"/>
  <c r="J23" i="4"/>
  <c r="K23" i="4"/>
  <c r="L23" i="4"/>
  <c r="M23" i="4"/>
  <c r="B24" i="4"/>
  <c r="C24" i="4"/>
  <c r="D24" i="4"/>
  <c r="E24" i="4"/>
  <c r="F24" i="4"/>
  <c r="G24" i="4"/>
  <c r="H24" i="4"/>
  <c r="I24" i="4"/>
  <c r="J24" i="4"/>
  <c r="K24" i="4"/>
  <c r="L24" i="4"/>
  <c r="M24" i="4"/>
  <c r="B25" i="4"/>
  <c r="C25" i="4"/>
  <c r="D25" i="4"/>
  <c r="E25" i="4"/>
  <c r="F25" i="4"/>
  <c r="G25" i="4"/>
  <c r="H25" i="4"/>
  <c r="I25" i="4"/>
  <c r="J25" i="4"/>
  <c r="K25" i="4"/>
  <c r="L25" i="4"/>
  <c r="M25" i="4"/>
  <c r="B27" i="4"/>
  <c r="C27" i="4"/>
  <c r="D27" i="4"/>
  <c r="E27" i="4"/>
  <c r="F27" i="4"/>
  <c r="G27" i="4"/>
  <c r="H27" i="4"/>
  <c r="I27" i="4"/>
  <c r="J27" i="4"/>
  <c r="K27" i="4"/>
  <c r="L27" i="4"/>
  <c r="M27" i="4"/>
  <c r="B28" i="4"/>
  <c r="B26" i="4" s="1"/>
  <c r="B29" i="4" s="1"/>
  <c r="B31" i="4" s="1"/>
  <c r="C28" i="4"/>
  <c r="C26" i="4" s="1"/>
  <c r="C29" i="4" s="1"/>
  <c r="C31" i="4" s="1"/>
  <c r="D28" i="4"/>
  <c r="D26" i="4" s="1"/>
  <c r="E28" i="4"/>
  <c r="F28" i="4"/>
  <c r="G28" i="4"/>
  <c r="G26" i="4" s="1"/>
  <c r="G29" i="4" s="1"/>
  <c r="G31" i="4" s="1"/>
  <c r="H28" i="4"/>
  <c r="I28" i="4"/>
  <c r="J28" i="4"/>
  <c r="J26" i="4" s="1"/>
  <c r="J29" i="4" s="1"/>
  <c r="J31" i="4" s="1"/>
  <c r="K28" i="4"/>
  <c r="L28" i="4"/>
  <c r="M28" i="4"/>
  <c r="M26" i="4" s="1"/>
  <c r="C7" i="1"/>
  <c r="D7" i="1"/>
  <c r="E7" i="1"/>
  <c r="F7" i="1"/>
  <c r="G7" i="1"/>
  <c r="H7" i="1"/>
  <c r="I7" i="1"/>
  <c r="J7" i="1"/>
  <c r="K7" i="1"/>
  <c r="L7" i="1"/>
  <c r="M7" i="1"/>
  <c r="N7" i="1"/>
  <c r="C9" i="1"/>
  <c r="D9" i="1"/>
  <c r="E9" i="1"/>
  <c r="F9" i="1"/>
  <c r="G9" i="1"/>
  <c r="H9" i="1"/>
  <c r="I9" i="1"/>
  <c r="J9" i="1"/>
  <c r="K9" i="1"/>
  <c r="L9" i="1"/>
  <c r="M9" i="1"/>
  <c r="N9" i="1"/>
  <c r="D10" i="1"/>
  <c r="E10" i="1"/>
  <c r="F12" i="1"/>
  <c r="G12" i="1"/>
  <c r="G10" i="1" s="1"/>
  <c r="G15" i="1" s="1"/>
  <c r="H12" i="1"/>
  <c r="H10" i="1" s="1"/>
  <c r="I12" i="1"/>
  <c r="I10" i="1" s="1"/>
  <c r="J12" i="1"/>
  <c r="K12" i="1"/>
  <c r="K10" i="1" s="1"/>
  <c r="K15" i="1" s="1"/>
  <c r="L12" i="1"/>
  <c r="L10" i="1" s="1"/>
  <c r="M12" i="1"/>
  <c r="M10" i="1" s="1"/>
  <c r="N12" i="1"/>
  <c r="C15" i="1"/>
  <c r="F16" i="1"/>
  <c r="G16" i="1"/>
  <c r="H16" i="1"/>
  <c r="I16" i="1"/>
  <c r="J16" i="1"/>
  <c r="K16" i="1"/>
  <c r="L16" i="1"/>
  <c r="M16" i="1"/>
  <c r="N16" i="1"/>
  <c r="C17" i="1"/>
  <c r="C19" i="1" s="1"/>
  <c r="B22" i="1"/>
  <c r="C23" i="1"/>
  <c r="D23" i="1"/>
  <c r="E23" i="1"/>
  <c r="F23" i="1"/>
  <c r="G23" i="1"/>
  <c r="H23" i="1"/>
  <c r="I23" i="1"/>
  <c r="J23" i="1"/>
  <c r="K23" i="1"/>
  <c r="L23" i="1"/>
  <c r="M23" i="1"/>
  <c r="N23" i="1"/>
  <c r="C24" i="1"/>
  <c r="D24" i="1"/>
  <c r="E24" i="1"/>
  <c r="F24" i="1"/>
  <c r="G24" i="1"/>
  <c r="H24" i="1"/>
  <c r="I24" i="1"/>
  <c r="J24" i="1"/>
  <c r="K24" i="1"/>
  <c r="L24" i="1"/>
  <c r="M24" i="1"/>
  <c r="N24" i="1"/>
  <c r="C25" i="1"/>
  <c r="D25" i="1"/>
  <c r="E25" i="1"/>
  <c r="F25" i="1"/>
  <c r="G25" i="1"/>
  <c r="H25" i="1"/>
  <c r="I25" i="1"/>
  <c r="J25" i="1"/>
  <c r="K25" i="1"/>
  <c r="L25" i="1"/>
  <c r="M25" i="1"/>
  <c r="N25" i="1"/>
  <c r="C26" i="1"/>
  <c r="D26" i="1"/>
  <c r="E26" i="1"/>
  <c r="F26" i="1"/>
  <c r="G26" i="1"/>
  <c r="H26" i="1"/>
  <c r="I26" i="1"/>
  <c r="J26" i="1"/>
  <c r="K26" i="1"/>
  <c r="L26" i="1"/>
  <c r="M26" i="1"/>
  <c r="N26" i="1"/>
  <c r="C27" i="1"/>
  <c r="D27" i="1"/>
  <c r="E27" i="1"/>
  <c r="F27" i="1"/>
  <c r="G27" i="1"/>
  <c r="H27" i="1"/>
  <c r="I27" i="1"/>
  <c r="J27" i="1"/>
  <c r="K27" i="1"/>
  <c r="L27" i="1"/>
  <c r="M27" i="1"/>
  <c r="N27" i="1"/>
  <c r="C29" i="1"/>
  <c r="D29" i="1"/>
  <c r="E29" i="1"/>
  <c r="F29" i="1"/>
  <c r="G29" i="1"/>
  <c r="H29" i="1"/>
  <c r="I29" i="1"/>
  <c r="J29" i="1"/>
  <c r="K29" i="1"/>
  <c r="L29" i="1"/>
  <c r="M29" i="1"/>
  <c r="N29" i="1"/>
  <c r="C30" i="1"/>
  <c r="D30" i="1"/>
  <c r="E30" i="1"/>
  <c r="E28" i="1" s="1"/>
  <c r="E31" i="1" s="1"/>
  <c r="E33" i="1" s="1"/>
  <c r="H30" i="1"/>
  <c r="I30" i="1"/>
  <c r="K30" i="1"/>
  <c r="L30" i="1"/>
  <c r="C7" i="6"/>
  <c r="D7" i="6"/>
  <c r="E7" i="6"/>
  <c r="F7" i="6"/>
  <c r="G7" i="6"/>
  <c r="G9" i="6" s="1"/>
  <c r="H7" i="6"/>
  <c r="I7" i="6"/>
  <c r="I9" i="6" s="1"/>
  <c r="J7" i="6"/>
  <c r="K7" i="6"/>
  <c r="K9" i="6" s="1"/>
  <c r="L7" i="6"/>
  <c r="M7" i="6"/>
  <c r="M9" i="6" s="1"/>
  <c r="M15" i="6" s="1"/>
  <c r="M17" i="6" s="1"/>
  <c r="M19" i="6" s="1"/>
  <c r="N7" i="6"/>
  <c r="N9" i="6" s="1"/>
  <c r="E8" i="6"/>
  <c r="E26" i="6" s="1"/>
  <c r="C9" i="6"/>
  <c r="D9" i="6"/>
  <c r="F9" i="6"/>
  <c r="H9" i="6"/>
  <c r="J9" i="6"/>
  <c r="L9" i="6"/>
  <c r="C12" i="6"/>
  <c r="C10" i="6" s="1"/>
  <c r="D12" i="6"/>
  <c r="D10" i="6" s="1"/>
  <c r="E12" i="6"/>
  <c r="E10" i="6" s="1"/>
  <c r="F12" i="6"/>
  <c r="F10" i="6" s="1"/>
  <c r="G12" i="6"/>
  <c r="G10" i="6" s="1"/>
  <c r="H12" i="6"/>
  <c r="H10" i="6" s="1"/>
  <c r="I12" i="6"/>
  <c r="I10" i="6" s="1"/>
  <c r="J12" i="6"/>
  <c r="J10" i="6"/>
  <c r="J15" i="6" s="1"/>
  <c r="J17" i="6" s="1"/>
  <c r="J19" i="6" s="1"/>
  <c r="K12" i="6"/>
  <c r="K10" i="6" s="1"/>
  <c r="L12" i="6"/>
  <c r="L10" i="6" s="1"/>
  <c r="M12" i="6"/>
  <c r="M10" i="6" s="1"/>
  <c r="N12" i="6"/>
  <c r="N10" i="6" s="1"/>
  <c r="C16" i="6"/>
  <c r="D16" i="6"/>
  <c r="E16" i="6"/>
  <c r="G16" i="6"/>
  <c r="B22" i="6"/>
  <c r="C23" i="6"/>
  <c r="D23" i="6"/>
  <c r="E23" i="6"/>
  <c r="F23" i="6"/>
  <c r="G23" i="6"/>
  <c r="H23" i="6"/>
  <c r="I23" i="6"/>
  <c r="J23" i="6"/>
  <c r="K23" i="6"/>
  <c r="L23" i="6"/>
  <c r="M23" i="6"/>
  <c r="N23" i="6"/>
  <c r="C24" i="6"/>
  <c r="D24" i="6"/>
  <c r="E24" i="6"/>
  <c r="F24" i="6"/>
  <c r="G24" i="6"/>
  <c r="H24" i="6"/>
  <c r="I24" i="6"/>
  <c r="J24" i="6"/>
  <c r="K24" i="6"/>
  <c r="L24" i="6"/>
  <c r="M24" i="6"/>
  <c r="N24" i="6"/>
  <c r="C25" i="6"/>
  <c r="C27" i="6" s="1"/>
  <c r="D25" i="6"/>
  <c r="E25" i="6"/>
  <c r="F25" i="6"/>
  <c r="F27" i="6" s="1"/>
  <c r="G25" i="6"/>
  <c r="H25" i="6"/>
  <c r="I25" i="6"/>
  <c r="J25" i="6"/>
  <c r="J27" i="6" s="1"/>
  <c r="K25" i="6"/>
  <c r="L25" i="6"/>
  <c r="M25" i="6"/>
  <c r="N25" i="6"/>
  <c r="N27" i="6" s="1"/>
  <c r="C26" i="6"/>
  <c r="D26" i="6"/>
  <c r="F26" i="6"/>
  <c r="G26" i="6"/>
  <c r="H26" i="6"/>
  <c r="I26" i="6"/>
  <c r="J26" i="6"/>
  <c r="K26" i="6"/>
  <c r="L26" i="6"/>
  <c r="M26" i="6"/>
  <c r="N26" i="6"/>
  <c r="I27" i="6"/>
  <c r="M27" i="6"/>
  <c r="C29" i="6"/>
  <c r="D29" i="6"/>
  <c r="E29" i="6"/>
  <c r="F29" i="6"/>
  <c r="F28" i="6" s="1"/>
  <c r="G29" i="6"/>
  <c r="H29" i="6"/>
  <c r="I29" i="6"/>
  <c r="J29" i="6"/>
  <c r="K29" i="6"/>
  <c r="L29" i="6"/>
  <c r="M29" i="6"/>
  <c r="N29" i="6"/>
  <c r="D30" i="6"/>
  <c r="E30" i="6"/>
  <c r="F30" i="6"/>
  <c r="H30" i="6"/>
  <c r="I30" i="6"/>
  <c r="J30" i="6"/>
  <c r="L30" i="6"/>
  <c r="N30" i="6"/>
  <c r="C7" i="5"/>
  <c r="D7" i="5"/>
  <c r="E7" i="5"/>
  <c r="F7" i="5"/>
  <c r="G7" i="5"/>
  <c r="H7" i="5"/>
  <c r="I7" i="5"/>
  <c r="J7" i="5"/>
  <c r="K7" i="5"/>
  <c r="L7" i="5"/>
  <c r="M7" i="5"/>
  <c r="N7" i="5"/>
  <c r="C9" i="5"/>
  <c r="D9" i="5"/>
  <c r="E9" i="5"/>
  <c r="F9" i="5"/>
  <c r="G9" i="5"/>
  <c r="H9" i="5"/>
  <c r="I9" i="5"/>
  <c r="J9" i="5"/>
  <c r="K9" i="5"/>
  <c r="L9" i="5"/>
  <c r="M9" i="5"/>
  <c r="N9" i="5"/>
  <c r="E10" i="5"/>
  <c r="F10" i="5"/>
  <c r="G10" i="5"/>
  <c r="H10" i="5"/>
  <c r="I10" i="5"/>
  <c r="J10" i="5"/>
  <c r="K10" i="5"/>
  <c r="L10" i="5"/>
  <c r="M10" i="5"/>
  <c r="N10" i="5"/>
  <c r="C12" i="5"/>
  <c r="C10" i="5" s="1"/>
  <c r="D12" i="5"/>
  <c r="D10" i="5" s="1"/>
  <c r="G15" i="5"/>
  <c r="G17" i="5" s="1"/>
  <c r="G19" i="5" s="1"/>
  <c r="C16" i="5"/>
  <c r="D16" i="5"/>
  <c r="B22" i="5"/>
  <c r="C23" i="5"/>
  <c r="D23" i="5"/>
  <c r="E23" i="5"/>
  <c r="F23" i="5"/>
  <c r="G23" i="5"/>
  <c r="H23" i="5"/>
  <c r="I23" i="5"/>
  <c r="J23" i="5"/>
  <c r="K23" i="5"/>
  <c r="L23" i="5"/>
  <c r="M23" i="5"/>
  <c r="N23" i="5"/>
  <c r="C24" i="5"/>
  <c r="D24" i="5"/>
  <c r="E24" i="5"/>
  <c r="F24" i="5"/>
  <c r="G24" i="5"/>
  <c r="H24" i="5"/>
  <c r="I24" i="5"/>
  <c r="J24" i="5"/>
  <c r="K24" i="5"/>
  <c r="L24" i="5"/>
  <c r="M24" i="5"/>
  <c r="N24" i="5"/>
  <c r="C25" i="5"/>
  <c r="D25" i="5"/>
  <c r="E25" i="5"/>
  <c r="F25" i="5"/>
  <c r="G25" i="5"/>
  <c r="H25" i="5"/>
  <c r="I25" i="5"/>
  <c r="J25" i="5"/>
  <c r="K25" i="5"/>
  <c r="L25" i="5"/>
  <c r="M25" i="5"/>
  <c r="N25" i="5"/>
  <c r="C26" i="5"/>
  <c r="D26" i="5"/>
  <c r="E26" i="5"/>
  <c r="F26" i="5"/>
  <c r="G26" i="5"/>
  <c r="H26" i="5"/>
  <c r="I26" i="5"/>
  <c r="J26" i="5"/>
  <c r="K26" i="5"/>
  <c r="L26" i="5"/>
  <c r="M26" i="5"/>
  <c r="N26" i="5"/>
  <c r="C27" i="5"/>
  <c r="D27" i="5"/>
  <c r="E27" i="5"/>
  <c r="F27" i="5"/>
  <c r="G27" i="5"/>
  <c r="H27" i="5"/>
  <c r="I27" i="5"/>
  <c r="J27" i="5"/>
  <c r="K27" i="5"/>
  <c r="L27" i="5"/>
  <c r="M27" i="5"/>
  <c r="N27" i="5"/>
  <c r="C29" i="5"/>
  <c r="D29" i="5"/>
  <c r="E29" i="5"/>
  <c r="F29" i="5"/>
  <c r="G29" i="5"/>
  <c r="H29" i="5"/>
  <c r="I29" i="5"/>
  <c r="I28" i="5" s="1"/>
  <c r="I31" i="5" s="1"/>
  <c r="I33" i="5" s="1"/>
  <c r="J29" i="5"/>
  <c r="K29" i="5"/>
  <c r="L29" i="5"/>
  <c r="M29" i="5"/>
  <c r="N29" i="5"/>
  <c r="D30" i="5"/>
  <c r="E30" i="5"/>
  <c r="F30" i="5"/>
  <c r="G30" i="5"/>
  <c r="H30" i="5"/>
  <c r="H28" i="5" s="1"/>
  <c r="I30" i="5"/>
  <c r="J30" i="5"/>
  <c r="K30" i="5"/>
  <c r="L30" i="5"/>
  <c r="L28" i="5" s="1"/>
  <c r="M30" i="5"/>
  <c r="N30" i="5"/>
  <c r="C11" i="7"/>
  <c r="C13" i="7" s="1"/>
  <c r="D11" i="7"/>
  <c r="D13" i="7" s="1"/>
  <c r="E11" i="7"/>
  <c r="E13" i="7" s="1"/>
  <c r="F11" i="7"/>
  <c r="F13" i="7" s="1"/>
  <c r="G11" i="7"/>
  <c r="G13" i="7" s="1"/>
  <c r="H11" i="7"/>
  <c r="H13" i="7" s="1"/>
  <c r="J11" i="7"/>
  <c r="J13" i="7" s="1"/>
  <c r="K11" i="7"/>
  <c r="K13" i="7" s="1"/>
  <c r="L11" i="7"/>
  <c r="L13" i="7" s="1"/>
  <c r="M11" i="7"/>
  <c r="M13" i="7" s="1"/>
  <c r="N11" i="7"/>
  <c r="N13" i="7" s="1"/>
  <c r="H14" i="7"/>
  <c r="I14" i="7"/>
  <c r="L14" i="7"/>
  <c r="C14" i="7"/>
  <c r="B26" i="7"/>
  <c r="C27" i="7"/>
  <c r="D27" i="7"/>
  <c r="E27" i="7"/>
  <c r="F27" i="7"/>
  <c r="G27" i="7"/>
  <c r="H27" i="7"/>
  <c r="I27" i="7"/>
  <c r="J27" i="7"/>
  <c r="K27" i="7"/>
  <c r="L27" i="7"/>
  <c r="M27" i="7"/>
  <c r="N27" i="7"/>
  <c r="C28" i="7"/>
  <c r="D28" i="7"/>
  <c r="E28" i="7"/>
  <c r="F28" i="7"/>
  <c r="F29" i="7" s="1"/>
  <c r="G28" i="7"/>
  <c r="H28" i="7"/>
  <c r="I28" i="7"/>
  <c r="J28" i="7"/>
  <c r="K28" i="7"/>
  <c r="K29" i="7" s="1"/>
  <c r="L28" i="7"/>
  <c r="M28" i="7"/>
  <c r="N28" i="7"/>
  <c r="C29" i="7"/>
  <c r="C30" i="7"/>
  <c r="D30" i="7"/>
  <c r="E30" i="7"/>
  <c r="F30" i="7"/>
  <c r="G30" i="7"/>
  <c r="H30" i="7"/>
  <c r="I30" i="7"/>
  <c r="J30" i="7"/>
  <c r="K30" i="7"/>
  <c r="L30" i="7"/>
  <c r="M30" i="7"/>
  <c r="N30" i="7"/>
  <c r="C33" i="7"/>
  <c r="D33" i="7"/>
  <c r="E33" i="7"/>
  <c r="F33" i="7"/>
  <c r="G33" i="7"/>
  <c r="H33" i="7"/>
  <c r="I33" i="7"/>
  <c r="J33" i="7"/>
  <c r="K33" i="7"/>
  <c r="L33" i="7"/>
  <c r="M33" i="7"/>
  <c r="N33" i="7"/>
  <c r="C34" i="7"/>
  <c r="C32" i="7" s="1"/>
  <c r="D34" i="7"/>
  <c r="D32" i="7" s="1"/>
  <c r="E34" i="7"/>
  <c r="E32" i="7" s="1"/>
  <c r="F34" i="7"/>
  <c r="G34" i="7"/>
  <c r="G32" i="7" s="1"/>
  <c r="L34" i="7"/>
  <c r="L32" i="7" s="1"/>
  <c r="M34" i="7"/>
  <c r="M32" i="7" s="1"/>
  <c r="D5" i="2"/>
  <c r="D7" i="2" s="1"/>
  <c r="E5" i="2"/>
  <c r="E7" i="2" s="1"/>
  <c r="F5" i="2"/>
  <c r="G5" i="2"/>
  <c r="H5" i="2"/>
  <c r="I5" i="2"/>
  <c r="I7" i="2" s="1"/>
  <c r="J5" i="2"/>
  <c r="K5" i="2"/>
  <c r="K7" i="2" s="1"/>
  <c r="L5" i="2"/>
  <c r="L7" i="2" s="1"/>
  <c r="M5" i="2"/>
  <c r="M7" i="2" s="1"/>
  <c r="F7" i="2"/>
  <c r="G7" i="2"/>
  <c r="H7" i="2"/>
  <c r="J7" i="2"/>
  <c r="J13" i="2" s="1"/>
  <c r="J15" i="2" s="1"/>
  <c r="J17" i="2" s="1"/>
  <c r="D8" i="2"/>
  <c r="E8" i="2"/>
  <c r="F8" i="2"/>
  <c r="G8" i="2"/>
  <c r="H8" i="2"/>
  <c r="I8" i="2"/>
  <c r="J8" i="2"/>
  <c r="K8" i="2"/>
  <c r="L8" i="2"/>
  <c r="M8" i="2"/>
  <c r="F13" i="2"/>
  <c r="G13" i="2"/>
  <c r="G15" i="2" s="1"/>
  <c r="G17" i="2" s="1"/>
  <c r="F15" i="2"/>
  <c r="F17" i="2" s="1"/>
  <c r="A20" i="2"/>
  <c r="D21" i="2"/>
  <c r="E21" i="2"/>
  <c r="F21" i="2"/>
  <c r="G21" i="2"/>
  <c r="H21" i="2"/>
  <c r="I21" i="2"/>
  <c r="J21" i="2"/>
  <c r="K21" i="2"/>
  <c r="L21" i="2"/>
  <c r="L23" i="2" s="1"/>
  <c r="L25" i="2" s="1"/>
  <c r="M21" i="2"/>
  <c r="D22" i="2"/>
  <c r="E22" i="2"/>
  <c r="F22" i="2"/>
  <c r="G22" i="2"/>
  <c r="H22" i="2"/>
  <c r="I22" i="2"/>
  <c r="J22" i="2"/>
  <c r="K22" i="2"/>
  <c r="L22" i="2"/>
  <c r="M22" i="2"/>
  <c r="H23" i="2"/>
  <c r="H25" i="2" s="1"/>
  <c r="D24" i="2"/>
  <c r="E24" i="2"/>
  <c r="F24" i="2"/>
  <c r="G24" i="2"/>
  <c r="H24" i="2"/>
  <c r="I24" i="2"/>
  <c r="J24" i="2"/>
  <c r="K24" i="2"/>
  <c r="L24" i="2"/>
  <c r="M24" i="2"/>
  <c r="D27" i="2"/>
  <c r="E27" i="2"/>
  <c r="F27" i="2"/>
  <c r="G27" i="2"/>
  <c r="H27" i="2"/>
  <c r="H26" i="2" s="1"/>
  <c r="I27" i="2"/>
  <c r="J27" i="2"/>
  <c r="K27" i="2"/>
  <c r="L27" i="2"/>
  <c r="M27" i="2"/>
  <c r="D28" i="2"/>
  <c r="E28" i="2"/>
  <c r="F28" i="2"/>
  <c r="G28" i="2"/>
  <c r="H28" i="2"/>
  <c r="I28" i="2"/>
  <c r="I26" i="2" s="1"/>
  <c r="J28" i="2"/>
  <c r="K28" i="2"/>
  <c r="K26" i="2" s="1"/>
  <c r="L28" i="2"/>
  <c r="M28" i="2"/>
  <c r="F32" i="7"/>
  <c r="M39" i="9" l="1"/>
  <c r="L40" i="9"/>
  <c r="M26" i="2"/>
  <c r="G23" i="2"/>
  <c r="G25" i="2" s="1"/>
  <c r="L13" i="2"/>
  <c r="L15" i="2" s="1"/>
  <c r="L17" i="2" s="1"/>
  <c r="N28" i="5"/>
  <c r="N31" i="5" s="1"/>
  <c r="N33" i="5" s="1"/>
  <c r="N34" i="5" s="1"/>
  <c r="M15" i="5"/>
  <c r="M17" i="5" s="1"/>
  <c r="M19" i="5" s="1"/>
  <c r="I15" i="5"/>
  <c r="I17" i="5" s="1"/>
  <c r="I19" i="5" s="1"/>
  <c r="E15" i="5"/>
  <c r="E17" i="5" s="1"/>
  <c r="E19" i="5" s="1"/>
  <c r="M30" i="6"/>
  <c r="M28" i="6" s="1"/>
  <c r="M31" i="6" s="1"/>
  <c r="M33" i="6" s="1"/>
  <c r="C30" i="6"/>
  <c r="C28" i="6" s="1"/>
  <c r="F15" i="6"/>
  <c r="F17" i="6" s="1"/>
  <c r="F19" i="6" s="1"/>
  <c r="H28" i="1"/>
  <c r="H31" i="1" s="1"/>
  <c r="H33" i="1" s="1"/>
  <c r="I34" i="1" s="1"/>
  <c r="D26" i="2"/>
  <c r="I26" i="4"/>
  <c r="J26" i="2"/>
  <c r="L26" i="2"/>
  <c r="L29" i="2" s="1"/>
  <c r="L31" i="2" s="1"/>
  <c r="M32" i="2" s="1"/>
  <c r="D23" i="2"/>
  <c r="D25" i="2" s="1"/>
  <c r="D29" i="2" s="1"/>
  <c r="D31" i="2" s="1"/>
  <c r="D32" i="2" s="1"/>
  <c r="D33" i="2" s="1"/>
  <c r="K13" i="2"/>
  <c r="K15" i="2" s="1"/>
  <c r="K17" i="2" s="1"/>
  <c r="N15" i="5"/>
  <c r="N17" i="5" s="1"/>
  <c r="N19" i="5" s="1"/>
  <c r="J15" i="5"/>
  <c r="J17" i="5" s="1"/>
  <c r="J19" i="5" s="1"/>
  <c r="F15" i="5"/>
  <c r="F17" i="5" s="1"/>
  <c r="F19" i="5" s="1"/>
  <c r="L15" i="5"/>
  <c r="L17" i="5" s="1"/>
  <c r="L19" i="5" s="1"/>
  <c r="H15" i="5"/>
  <c r="H17" i="5" s="1"/>
  <c r="H19" i="5" s="1"/>
  <c r="D15" i="5"/>
  <c r="D17" i="5" s="1"/>
  <c r="D19" i="5" s="1"/>
  <c r="N28" i="6"/>
  <c r="N31" i="6" s="1"/>
  <c r="N33" i="6" s="1"/>
  <c r="N34" i="6" s="1"/>
  <c r="I28" i="1"/>
  <c r="I31" i="1" s="1"/>
  <c r="I33" i="1" s="1"/>
  <c r="E26" i="2"/>
  <c r="M23" i="2"/>
  <c r="M25" i="2" s="1"/>
  <c r="M29" i="2" s="1"/>
  <c r="M31" i="2" s="1"/>
  <c r="I23" i="2"/>
  <c r="E28" i="5"/>
  <c r="E31" i="5" s="1"/>
  <c r="E33" i="5" s="1"/>
  <c r="E28" i="6"/>
  <c r="L27" i="6"/>
  <c r="H27" i="6"/>
  <c r="D15" i="6"/>
  <c r="D17" i="6" s="1"/>
  <c r="D19" i="6" s="1"/>
  <c r="M30" i="1"/>
  <c r="M28" i="1" s="1"/>
  <c r="M31" i="1" s="1"/>
  <c r="M33" i="1" s="1"/>
  <c r="F26" i="4"/>
  <c r="F29" i="4" s="1"/>
  <c r="F31" i="4" s="1"/>
  <c r="G32" i="4" s="1"/>
  <c r="M29" i="4"/>
  <c r="M31" i="4" s="1"/>
  <c r="D28" i="6"/>
  <c r="N15" i="6"/>
  <c r="N17" i="6" s="1"/>
  <c r="N19" i="6" s="1"/>
  <c r="I15" i="6"/>
  <c r="I17" i="6" s="1"/>
  <c r="I19" i="6" s="1"/>
  <c r="C15" i="6"/>
  <c r="C17" i="6" s="1"/>
  <c r="C19" i="6" s="1"/>
  <c r="L28" i="1"/>
  <c r="L31" i="1" s="1"/>
  <c r="L33" i="1" s="1"/>
  <c r="M34" i="1" s="1"/>
  <c r="D28" i="1"/>
  <c r="L15" i="1"/>
  <c r="L17" i="1" s="1"/>
  <c r="L19" i="1" s="1"/>
  <c r="H15" i="1"/>
  <c r="H17" i="1" s="1"/>
  <c r="H19" i="1" s="1"/>
  <c r="D15" i="1"/>
  <c r="D17" i="1" s="1"/>
  <c r="D19" i="1" s="1"/>
  <c r="C32" i="4"/>
  <c r="C33" i="4" s="1"/>
  <c r="H29" i="2"/>
  <c r="H31" i="2" s="1"/>
  <c r="D13" i="2"/>
  <c r="D15" i="2" s="1"/>
  <c r="D17" i="2" s="1"/>
  <c r="G29" i="7"/>
  <c r="J23" i="2"/>
  <c r="F23" i="2"/>
  <c r="F28" i="5"/>
  <c r="F31" i="5" s="1"/>
  <c r="F33" i="5" s="1"/>
  <c r="F34" i="5" s="1"/>
  <c r="J28" i="6"/>
  <c r="J31" i="6" s="1"/>
  <c r="J33" i="6" s="1"/>
  <c r="D27" i="6"/>
  <c r="E27" i="6"/>
  <c r="G15" i="6"/>
  <c r="G17" i="6" s="1"/>
  <c r="G19" i="6" s="1"/>
  <c r="C28" i="1"/>
  <c r="C31" i="1" s="1"/>
  <c r="C33" i="1" s="1"/>
  <c r="I29" i="4"/>
  <c r="I31" i="4" s="1"/>
  <c r="J32" i="4" s="1"/>
  <c r="I13" i="4"/>
  <c r="I15" i="4" s="1"/>
  <c r="I17" i="4" s="1"/>
  <c r="E13" i="4"/>
  <c r="E15" i="4" s="1"/>
  <c r="E17" i="4" s="1"/>
  <c r="E38" i="8"/>
  <c r="M28" i="5"/>
  <c r="M31" i="5" s="1"/>
  <c r="M33" i="5" s="1"/>
  <c r="J28" i="5"/>
  <c r="J31" i="5" s="1"/>
  <c r="J33" i="5" s="1"/>
  <c r="J34" i="5" s="1"/>
  <c r="K26" i="4"/>
  <c r="K29" i="4" s="1"/>
  <c r="K31" i="4" s="1"/>
  <c r="K32" i="4" s="1"/>
  <c r="M38" i="8"/>
  <c r="I25" i="2"/>
  <c r="I29" i="2" s="1"/>
  <c r="I31" i="2" s="1"/>
  <c r="I32" i="2" s="1"/>
  <c r="H13" i="2"/>
  <c r="H15" i="2" s="1"/>
  <c r="H17" i="2" s="1"/>
  <c r="E23" i="2"/>
  <c r="E25" i="2" s="1"/>
  <c r="K23" i="2"/>
  <c r="K25" i="2" s="1"/>
  <c r="K29" i="2" s="1"/>
  <c r="K31" i="2" s="1"/>
  <c r="K32" i="2" s="1"/>
  <c r="F26" i="2"/>
  <c r="M13" i="2"/>
  <c r="M15" i="2" s="1"/>
  <c r="M17" i="2" s="1"/>
  <c r="I13" i="2"/>
  <c r="I15" i="2" s="1"/>
  <c r="I17" i="2" s="1"/>
  <c r="E13" i="2"/>
  <c r="E15" i="2" s="1"/>
  <c r="E17" i="2" s="1"/>
  <c r="L31" i="5"/>
  <c r="L33" i="5" s="1"/>
  <c r="D28" i="5"/>
  <c r="K28" i="5"/>
  <c r="K31" i="5" s="1"/>
  <c r="K33" i="5" s="1"/>
  <c r="K34" i="5" s="1"/>
  <c r="F31" i="6"/>
  <c r="F33" i="6" s="1"/>
  <c r="I15" i="1"/>
  <c r="I17" i="1" s="1"/>
  <c r="I19" i="1" s="1"/>
  <c r="E15" i="1"/>
  <c r="E17" i="1" s="1"/>
  <c r="E19" i="1" s="1"/>
  <c r="H26" i="4"/>
  <c r="H29" i="4" s="1"/>
  <c r="H31" i="4" s="1"/>
  <c r="H32" i="4" s="1"/>
  <c r="C13" i="4"/>
  <c r="C15" i="4" s="1"/>
  <c r="C17" i="4" s="1"/>
  <c r="I32" i="7"/>
  <c r="K38" i="8"/>
  <c r="I38" i="8"/>
  <c r="G38" i="8"/>
  <c r="F38" i="8"/>
  <c r="D34" i="2"/>
  <c r="C34" i="4"/>
  <c r="E31" i="6"/>
  <c r="E33" i="6" s="1"/>
  <c r="K15" i="6"/>
  <c r="K17" i="6" s="1"/>
  <c r="K19" i="6" s="1"/>
  <c r="E29" i="2"/>
  <c r="E31" i="2" s="1"/>
  <c r="E32" i="2" s="1"/>
  <c r="E33" i="2" s="1"/>
  <c r="C31" i="6"/>
  <c r="C33" i="6" s="1"/>
  <c r="K28" i="1"/>
  <c r="K31" i="1" s="1"/>
  <c r="K33" i="1" s="1"/>
  <c r="N10" i="1"/>
  <c r="N30" i="1"/>
  <c r="N28" i="1" s="1"/>
  <c r="N31" i="1" s="1"/>
  <c r="N33" i="1" s="1"/>
  <c r="N34" i="1" s="1"/>
  <c r="G17" i="1"/>
  <c r="G19" i="1" s="1"/>
  <c r="G26" i="2"/>
  <c r="G29" i="2" s="1"/>
  <c r="G31" i="2" s="1"/>
  <c r="C30" i="5"/>
  <c r="C28" i="5" s="1"/>
  <c r="C31" i="5" s="1"/>
  <c r="C33" i="5" s="1"/>
  <c r="G28" i="5"/>
  <c r="G31" i="5" s="1"/>
  <c r="G33" i="5" s="1"/>
  <c r="G34" i="5" s="1"/>
  <c r="H28" i="6"/>
  <c r="H31" i="6" s="1"/>
  <c r="H33" i="6" s="1"/>
  <c r="H15" i="6"/>
  <c r="H17" i="6" s="1"/>
  <c r="H19" i="6" s="1"/>
  <c r="J10" i="1"/>
  <c r="J15" i="1" s="1"/>
  <c r="J17" i="1" s="1"/>
  <c r="J19" i="1" s="1"/>
  <c r="J30" i="1"/>
  <c r="J28" i="1" s="1"/>
  <c r="J31" i="1" s="1"/>
  <c r="J33" i="1" s="1"/>
  <c r="J34" i="1" s="1"/>
  <c r="I32" i="4"/>
  <c r="K15" i="5"/>
  <c r="K17" i="5" s="1"/>
  <c r="K19" i="5" s="1"/>
  <c r="C15" i="5"/>
  <c r="C17" i="5" s="1"/>
  <c r="C19" i="5" s="1"/>
  <c r="K30" i="6"/>
  <c r="K28" i="6" s="1"/>
  <c r="G30" i="6"/>
  <c r="G28" i="6" s="1"/>
  <c r="I28" i="6"/>
  <c r="I31" i="6" s="1"/>
  <c r="I33" i="6" s="1"/>
  <c r="F10" i="1"/>
  <c r="F15" i="1" s="1"/>
  <c r="F17" i="1" s="1"/>
  <c r="F19" i="1" s="1"/>
  <c r="F30" i="1"/>
  <c r="M15" i="1"/>
  <c r="M17" i="1" s="1"/>
  <c r="M19" i="1" s="1"/>
  <c r="K32" i="7"/>
  <c r="J38" i="8"/>
  <c r="J25" i="2"/>
  <c r="J29" i="2" s="1"/>
  <c r="J31" i="2" s="1"/>
  <c r="J32" i="2" s="1"/>
  <c r="F25" i="2"/>
  <c r="F29" i="2" s="1"/>
  <c r="F31" i="2" s="1"/>
  <c r="H31" i="5"/>
  <c r="H33" i="5" s="1"/>
  <c r="D31" i="5"/>
  <c r="D33" i="5" s="1"/>
  <c r="L28" i="6"/>
  <c r="K27" i="6"/>
  <c r="G27" i="6"/>
  <c r="G31" i="6" s="1"/>
  <c r="G33" i="6" s="1"/>
  <c r="G34" i="6" s="1"/>
  <c r="E9" i="6"/>
  <c r="E15" i="6" s="1"/>
  <c r="E17" i="6" s="1"/>
  <c r="E19" i="6" s="1"/>
  <c r="G30" i="1"/>
  <c r="K17" i="1"/>
  <c r="K19" i="1" s="1"/>
  <c r="H32" i="7"/>
  <c r="N38" i="8"/>
  <c r="F28" i="1"/>
  <c r="F31" i="1" s="1"/>
  <c r="F33" i="1" s="1"/>
  <c r="F34" i="1" s="1"/>
  <c r="L26" i="4"/>
  <c r="L29" i="4" s="1"/>
  <c r="L31" i="4" s="1"/>
  <c r="D29" i="4"/>
  <c r="D31" i="4" s="1"/>
  <c r="D32" i="4" s="1"/>
  <c r="D33" i="4" s="1"/>
  <c r="K13" i="4"/>
  <c r="K15" i="4" s="1"/>
  <c r="K17" i="4" s="1"/>
  <c r="G13" i="4"/>
  <c r="G15" i="4" s="1"/>
  <c r="G17" i="4" s="1"/>
  <c r="F31" i="7"/>
  <c r="F35" i="7" s="1"/>
  <c r="F37" i="7" s="1"/>
  <c r="L15" i="6"/>
  <c r="L17" i="6" s="1"/>
  <c r="L19" i="6" s="1"/>
  <c r="G28" i="1"/>
  <c r="G31" i="1" s="1"/>
  <c r="G33" i="1" s="1"/>
  <c r="D31" i="1"/>
  <c r="D33" i="1" s="1"/>
  <c r="N15" i="1"/>
  <c r="N17" i="1" s="1"/>
  <c r="N19" i="1" s="1"/>
  <c r="E26" i="4"/>
  <c r="E29" i="4" s="1"/>
  <c r="E31" i="4" s="1"/>
  <c r="J32" i="7"/>
  <c r="L38" i="8"/>
  <c r="H38" i="8"/>
  <c r="D38" i="8"/>
  <c r="D39" i="8" s="1"/>
  <c r="G45" i="8"/>
  <c r="L29" i="7"/>
  <c r="L31" i="7" s="1"/>
  <c r="L35" i="7" s="1"/>
  <c r="L37" i="7" s="1"/>
  <c r="H29" i="7"/>
  <c r="H31" i="7" s="1"/>
  <c r="D29" i="7"/>
  <c r="D31" i="7" s="1"/>
  <c r="D35" i="7" s="1"/>
  <c r="D37" i="7" s="1"/>
  <c r="C31" i="7"/>
  <c r="G19" i="7"/>
  <c r="G21" i="7" s="1"/>
  <c r="G23" i="7" s="1"/>
  <c r="F19" i="7"/>
  <c r="F21" i="7" s="1"/>
  <c r="F23" i="7" s="1"/>
  <c r="G31" i="7"/>
  <c r="G35" i="7" s="1"/>
  <c r="G37" i="7" s="1"/>
  <c r="J29" i="7"/>
  <c r="J31" i="7" s="1"/>
  <c r="J35" i="7" s="1"/>
  <c r="J37" i="7" s="1"/>
  <c r="I29" i="7"/>
  <c r="I31" i="7" s="1"/>
  <c r="I35" i="7" s="1"/>
  <c r="I37" i="7" s="1"/>
  <c r="E29" i="7"/>
  <c r="E31" i="7" s="1"/>
  <c r="E35" i="7" s="1"/>
  <c r="E37" i="7" s="1"/>
  <c r="C35" i="7"/>
  <c r="C37" i="7" s="1"/>
  <c r="N34" i="7"/>
  <c r="N32" i="7" s="1"/>
  <c r="N29" i="7"/>
  <c r="N31" i="7" s="1"/>
  <c r="M19" i="7"/>
  <c r="M21" i="7" s="1"/>
  <c r="M23" i="7" s="1"/>
  <c r="P23" i="7" s="1"/>
  <c r="P26" i="7" s="1"/>
  <c r="M29" i="7"/>
  <c r="M31" i="7" s="1"/>
  <c r="M35" i="7" s="1"/>
  <c r="M37" i="7" s="1"/>
  <c r="L19" i="7"/>
  <c r="L21" i="7" s="1"/>
  <c r="L23" i="7" s="1"/>
  <c r="K19" i="7"/>
  <c r="K21" i="7" s="1"/>
  <c r="K23" i="7" s="1"/>
  <c r="K31" i="7"/>
  <c r="I19" i="7"/>
  <c r="I21" i="7" s="1"/>
  <c r="I23" i="7" s="1"/>
  <c r="H19" i="7"/>
  <c r="H21" i="7" s="1"/>
  <c r="H23" i="7" s="1"/>
  <c r="C19" i="7"/>
  <c r="C21" i="7" s="1"/>
  <c r="C23" i="7" s="1"/>
  <c r="N19" i="7"/>
  <c r="N21" i="7" s="1"/>
  <c r="N23" i="7" s="1"/>
  <c r="J19" i="7"/>
  <c r="J21" i="7" s="1"/>
  <c r="J23" i="7" s="1"/>
  <c r="E19" i="7"/>
  <c r="E21" i="7" s="1"/>
  <c r="E23" i="7" s="1"/>
  <c r="D19" i="7"/>
  <c r="D21" i="7" s="1"/>
  <c r="D23" i="7" s="1"/>
  <c r="N39" i="9" l="1"/>
  <c r="N40" i="9" s="1"/>
  <c r="M40" i="9"/>
  <c r="I34" i="6"/>
  <c r="D34" i="1"/>
  <c r="D35" i="1" s="1"/>
  <c r="E35" i="1" s="1"/>
  <c r="L31" i="6"/>
  <c r="L33" i="6" s="1"/>
  <c r="M34" i="6" s="1"/>
  <c r="E34" i="1"/>
  <c r="D31" i="6"/>
  <c r="D33" i="6" s="1"/>
  <c r="D34" i="6" s="1"/>
  <c r="D35" i="6" s="1"/>
  <c r="L34" i="5"/>
  <c r="K34" i="1"/>
  <c r="H35" i="7"/>
  <c r="H37" i="7" s="1"/>
  <c r="M34" i="5"/>
  <c r="G34" i="1"/>
  <c r="H34" i="1"/>
  <c r="D34" i="4"/>
  <c r="E34" i="2"/>
  <c r="D40" i="8"/>
  <c r="E39" i="8"/>
  <c r="E40" i="8" s="1"/>
  <c r="E32" i="4"/>
  <c r="E33" i="4" s="1"/>
  <c r="F32" i="4"/>
  <c r="G32" i="2"/>
  <c r="H32" i="2"/>
  <c r="D34" i="5"/>
  <c r="D35" i="5" s="1"/>
  <c r="E34" i="5"/>
  <c r="H34" i="5"/>
  <c r="I34" i="5"/>
  <c r="L32" i="2"/>
  <c r="K35" i="7"/>
  <c r="K37" i="7" s="1"/>
  <c r="K38" i="7" s="1"/>
  <c r="L32" i="4"/>
  <c r="M32" i="4"/>
  <c r="K31" i="6"/>
  <c r="K33" i="6" s="1"/>
  <c r="K34" i="6" s="1"/>
  <c r="F32" i="2"/>
  <c r="F33" i="2" s="1"/>
  <c r="H34" i="6"/>
  <c r="F34" i="6"/>
  <c r="G43" i="7"/>
  <c r="L34" i="1"/>
  <c r="L34" i="6"/>
  <c r="J34" i="6"/>
  <c r="D38" i="7"/>
  <c r="D39" i="7" s="1"/>
  <c r="D40" i="7" s="1"/>
  <c r="F38" i="7"/>
  <c r="G38" i="7"/>
  <c r="N35" i="7"/>
  <c r="N37" i="7" s="1"/>
  <c r="N38" i="7" s="1"/>
  <c r="M38" i="7"/>
  <c r="J38" i="7"/>
  <c r="I38" i="7"/>
  <c r="H38" i="7"/>
  <c r="E38" i="7"/>
  <c r="D36" i="6" l="1"/>
  <c r="D36" i="1"/>
  <c r="E34" i="6"/>
  <c r="E35" i="6" s="1"/>
  <c r="L38" i="7"/>
  <c r="F39" i="8"/>
  <c r="F40" i="8" s="1"/>
  <c r="F33" i="4"/>
  <c r="E34" i="4"/>
  <c r="E35" i="5"/>
  <c r="D36" i="5"/>
  <c r="F34" i="2"/>
  <c r="G33" i="2"/>
  <c r="E36" i="1"/>
  <c r="F35" i="1"/>
  <c r="E39" i="7"/>
  <c r="F39" i="7" s="1"/>
  <c r="F35" i="6" l="1"/>
  <c r="E36" i="6"/>
  <c r="G39" i="8"/>
  <c r="G40" i="8" s="1"/>
  <c r="G35" i="6"/>
  <c r="F36" i="6"/>
  <c r="G33" i="4"/>
  <c r="F34" i="4"/>
  <c r="G35" i="1"/>
  <c r="F36" i="1"/>
  <c r="F35" i="5"/>
  <c r="E36" i="5"/>
  <c r="G34" i="2"/>
  <c r="H33" i="2"/>
  <c r="E40" i="7"/>
  <c r="F40" i="7"/>
  <c r="G39" i="7"/>
  <c r="H39" i="8" l="1"/>
  <c r="H40" i="8" s="1"/>
  <c r="H35" i="1"/>
  <c r="G36" i="1"/>
  <c r="H35" i="6"/>
  <c r="G36" i="6"/>
  <c r="G35" i="5"/>
  <c r="F36" i="5"/>
  <c r="H33" i="4"/>
  <c r="G34" i="4"/>
  <c r="H34" i="2"/>
  <c r="I33" i="2"/>
  <c r="G40" i="7"/>
  <c r="H39" i="7"/>
  <c r="I39" i="8" l="1"/>
  <c r="I40" i="8" s="1"/>
  <c r="H35" i="5"/>
  <c r="G36" i="5"/>
  <c r="H36" i="1"/>
  <c r="I35" i="1"/>
  <c r="I33" i="4"/>
  <c r="H34" i="4"/>
  <c r="I35" i="6"/>
  <c r="H36" i="6"/>
  <c r="J33" i="2"/>
  <c r="I34" i="2"/>
  <c r="H40" i="7"/>
  <c r="I39" i="7"/>
  <c r="J39" i="8" l="1"/>
  <c r="J40" i="8" s="1"/>
  <c r="J34" i="2"/>
  <c r="K33" i="2"/>
  <c r="J33" i="4"/>
  <c r="I34" i="4"/>
  <c r="I35" i="5"/>
  <c r="H36" i="5"/>
  <c r="J35" i="1"/>
  <c r="I36" i="1"/>
  <c r="J35" i="6"/>
  <c r="I36" i="6"/>
  <c r="I40" i="7"/>
  <c r="J39" i="7"/>
  <c r="K39" i="8" l="1"/>
  <c r="L39" i="8" s="1"/>
  <c r="K35" i="6"/>
  <c r="J36" i="6"/>
  <c r="J35" i="5"/>
  <c r="I36" i="5"/>
  <c r="K35" i="1"/>
  <c r="J36" i="1"/>
  <c r="K33" i="4"/>
  <c r="J34" i="4"/>
  <c r="K34" i="2"/>
  <c r="L33" i="2"/>
  <c r="J40" i="7"/>
  <c r="K39" i="7"/>
  <c r="K40" i="8" l="1"/>
  <c r="L33" i="4"/>
  <c r="K34" i="4"/>
  <c r="K35" i="5"/>
  <c r="J36" i="5"/>
  <c r="L34" i="2"/>
  <c r="M33" i="2"/>
  <c r="M34" i="2" s="1"/>
  <c r="L35" i="1"/>
  <c r="K36" i="1"/>
  <c r="L35" i="6"/>
  <c r="K36" i="6"/>
  <c r="L40" i="8"/>
  <c r="M39" i="8"/>
  <c r="K40" i="7"/>
  <c r="L39" i="7"/>
  <c r="M35" i="1" l="1"/>
  <c r="L36" i="1"/>
  <c r="L35" i="5"/>
  <c r="K36" i="5"/>
  <c r="L36" i="6"/>
  <c r="M35" i="6"/>
  <c r="L34" i="4"/>
  <c r="M33" i="4"/>
  <c r="M34" i="4" s="1"/>
  <c r="M40" i="8"/>
  <c r="N39" i="8"/>
  <c r="N40" i="8" s="1"/>
  <c r="L40" i="7"/>
  <c r="M39" i="7"/>
  <c r="M35" i="5" l="1"/>
  <c r="L36" i="5"/>
  <c r="M36" i="6"/>
  <c r="N35" i="6"/>
  <c r="N36" i="6" s="1"/>
  <c r="M36" i="1"/>
  <c r="N35" i="1"/>
  <c r="N36" i="1" s="1"/>
  <c r="N39" i="7"/>
  <c r="N40" i="7" s="1"/>
  <c r="M40" i="7"/>
  <c r="N35" i="5" l="1"/>
  <c r="N36" i="5" s="1"/>
  <c r="M36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fjo</author>
  </authors>
  <commentList>
    <comment ref="A30" authorId="0" shapeId="0" xr:uid="{00000000-0006-0000-0000-000001000000}">
      <text>
        <r>
          <rPr>
            <b/>
            <sz val="8"/>
            <color indexed="8"/>
            <rFont val="Times New Roman"/>
            <family val="1"/>
          </rPr>
          <t xml:space="preserve">RDA AVALIAÇÕES:
</t>
        </r>
        <r>
          <rPr>
            <sz val="8"/>
            <color indexed="8"/>
            <rFont val="Times New Roman"/>
            <family val="1"/>
          </rPr>
          <t>Valor correspondente ao período sob análise, que pode ser encontrado no DOAR - Demonstração das Origens e Aplicações de Recursos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fjo</author>
  </authors>
  <commentList>
    <comment ref="B32" authorId="0" shapeId="0" xr:uid="{00000000-0006-0000-0100-000001000000}">
      <text>
        <r>
          <rPr>
            <b/>
            <sz val="8"/>
            <color indexed="8"/>
            <rFont val="Times New Roman"/>
            <family val="1"/>
          </rPr>
          <t xml:space="preserve">RDA AVALIAÇÕES:
</t>
        </r>
        <r>
          <rPr>
            <sz val="8"/>
            <color indexed="8"/>
            <rFont val="Times New Roman"/>
            <family val="1"/>
          </rPr>
          <t>Valor correspondente ao período sob análise, que pode ser encontrado no DOAR - Demonstração das Origens e Aplicações de Recursos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fjo</author>
  </authors>
  <commentList>
    <comment ref="B32" authorId="0" shapeId="0" xr:uid="{00000000-0006-0000-0200-000001000000}">
      <text>
        <r>
          <rPr>
            <b/>
            <sz val="8"/>
            <color indexed="8"/>
            <rFont val="Times New Roman"/>
            <family val="1"/>
          </rPr>
          <t xml:space="preserve">RDA AVALIAÇÕES:
</t>
        </r>
        <r>
          <rPr>
            <sz val="8"/>
            <color indexed="8"/>
            <rFont val="Times New Roman"/>
            <family val="1"/>
          </rPr>
          <t>Valor correspondente ao período sob análise, que pode ser encontrado no DOAR - Demonstração das Origens e Aplicações de Recursos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fjo</author>
  </authors>
  <commentList>
    <comment ref="B32" authorId="0" shapeId="0" xr:uid="{00000000-0006-0000-0300-000001000000}">
      <text>
        <r>
          <rPr>
            <b/>
            <sz val="8"/>
            <color indexed="8"/>
            <rFont val="Times New Roman"/>
            <family val="1"/>
          </rPr>
          <t xml:space="preserve">RDA AVALIAÇÕES:
</t>
        </r>
        <r>
          <rPr>
            <sz val="8"/>
            <color indexed="8"/>
            <rFont val="Times New Roman"/>
            <family val="1"/>
          </rPr>
          <t>Valor correspondente ao período sob análise, que pode ser encontrado no DOAR - Demonstração das Origens e Aplicações de Recursos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DANY</author>
    <author>fjo</author>
  </authors>
  <commentList>
    <comment ref="J16" authorId="0" shapeId="0" xr:uid="{00000000-0006-0000-0400-000001000000}">
      <text>
        <r>
          <rPr>
            <b/>
            <sz val="8"/>
            <color indexed="81"/>
            <rFont val="Tahoma"/>
            <family val="2"/>
          </rPr>
          <t xml:space="preserve">Joka:
Despesa com Pessoal
Encargos Sociais
Despesas Gerais Comerciais
Despesas com MKTOOLS
Despesas Administrativas
Despesas Tributárias
</t>
        </r>
      </text>
    </comment>
    <comment ref="K16" authorId="0" shapeId="0" xr:uid="{00000000-0006-0000-0400-000002000000}">
      <text>
        <r>
          <rPr>
            <b/>
            <sz val="8"/>
            <color indexed="81"/>
            <rFont val="Tahoma"/>
            <family val="2"/>
          </rPr>
          <t xml:space="preserve">Joaquim:
Despesa com Pessoal
Encargos Sociais
Despesas Gerais Comerciais
Despesas com MKTOOLS
Despesas Administrativas
Despesas Tributárias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L16" authorId="0" shapeId="0" xr:uid="{00000000-0006-0000-0400-000003000000}">
      <text>
        <r>
          <rPr>
            <b/>
            <sz val="8"/>
            <color indexed="81"/>
            <rFont val="Tahoma"/>
            <family val="2"/>
          </rPr>
          <t xml:space="preserve">Joaquim:
Despesa com Pessoal
Encargos Sociais
Despesas Gerais Comerciais
Despesas com MKTOOLS
Despesas Administrativas
Despesas Tributárias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M16" authorId="0" shapeId="0" xr:uid="{00000000-0006-0000-0400-000004000000}">
      <text>
        <r>
          <rPr>
            <b/>
            <sz val="8"/>
            <color indexed="81"/>
            <rFont val="Tahoma"/>
            <family val="2"/>
          </rPr>
          <t xml:space="preserve">Joaquim:
Despesa com Pessoal
Encargos Sociais
Despesas Gerais Comerciais
Despesas com MKTOOLS
Despesas Administrativas
Despesas Tributárias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36" authorId="1" shapeId="0" xr:uid="{00000000-0006-0000-0400-000005000000}">
      <text>
        <r>
          <rPr>
            <b/>
            <sz val="8"/>
            <color indexed="8"/>
            <rFont val="Times New Roman"/>
            <family val="1"/>
          </rPr>
          <t xml:space="preserve">RDA AVALIAÇÕES:
</t>
        </r>
        <r>
          <rPr>
            <sz val="8"/>
            <color indexed="8"/>
            <rFont val="Times New Roman"/>
            <family val="1"/>
          </rPr>
          <t>Valor correspondente ao período sob análise, que pode ser encontrado no DOAR - Demonstração das Origens e Aplicações de Recursos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DANY</author>
    <author>fjo</author>
  </authors>
  <commentList>
    <comment ref="C16" authorId="0" shapeId="0" xr:uid="{00000000-0006-0000-0500-000001000000}">
      <text>
        <r>
          <rPr>
            <b/>
            <sz val="8"/>
            <color indexed="81"/>
            <rFont val="Tahoma"/>
            <family val="2"/>
          </rPr>
          <t xml:space="preserve">Joka:
Despesa com Pessoal
Encargos Sociais
Despesas Gerais Comerciais
Despesas com MKTOOLS
Despesas Administrativas
Despesas Tributárias
</t>
        </r>
      </text>
    </comment>
    <comment ref="D16" authorId="0" shapeId="0" xr:uid="{00000000-0006-0000-0500-000002000000}">
      <text>
        <r>
          <rPr>
            <b/>
            <sz val="8"/>
            <color indexed="81"/>
            <rFont val="Tahoma"/>
            <family val="2"/>
          </rPr>
          <t xml:space="preserve">Joka:
Despesa com Pessoal
Encargos Sociais
Despesas Gerais Comerciais
Despesas com MKTOOLS
Despesas Administrativas
Despesas Tributárias
</t>
        </r>
      </text>
    </comment>
    <comment ref="E16" authorId="0" shapeId="0" xr:uid="{00000000-0006-0000-0500-000003000000}">
      <text>
        <r>
          <rPr>
            <b/>
            <sz val="8"/>
            <color indexed="81"/>
            <rFont val="Tahoma"/>
            <family val="2"/>
          </rPr>
          <t xml:space="preserve">Joka:
Despesa com Pessoal
Encargos Sociais
Despesas Gerais Comerciais
Despesas com MKTOOLS
Despesas Administrativas
Despesas Tributárias
</t>
        </r>
      </text>
    </comment>
    <comment ref="F16" authorId="0" shapeId="0" xr:uid="{00000000-0006-0000-0500-000004000000}">
      <text>
        <r>
          <rPr>
            <b/>
            <sz val="8"/>
            <color indexed="81"/>
            <rFont val="Tahoma"/>
            <family val="2"/>
          </rPr>
          <t xml:space="preserve">Joka:
Despesa com Pessoal
Encargos Sociais
Despesas Gerais Comerciais
Despesas com MKTOOLS
Despesas Administrativas
Despesas Tributárias
</t>
        </r>
      </text>
    </comment>
    <comment ref="G16" authorId="0" shapeId="0" xr:uid="{00000000-0006-0000-0500-000005000000}">
      <text>
        <r>
          <rPr>
            <b/>
            <sz val="8"/>
            <color indexed="81"/>
            <rFont val="Tahoma"/>
            <family val="2"/>
          </rPr>
          <t xml:space="preserve">Joka:
Despesa com Pessoal
Encargos Sociais
Despesas Gerais Comerciais
Despesas com MKTOOLS
Despesas Administrativas
Despesas Tributárias
</t>
        </r>
      </text>
    </comment>
    <comment ref="H16" authorId="0" shapeId="0" xr:uid="{00000000-0006-0000-0500-000006000000}">
      <text>
        <r>
          <rPr>
            <b/>
            <sz val="8"/>
            <color indexed="81"/>
            <rFont val="Tahoma"/>
            <family val="2"/>
          </rPr>
          <t xml:space="preserve">Joka:
Despesa com Pessoal
Encargos Sociais
Despesas Gerais Comerciais
Despesas com MKTOOLS
Despesas Administrativas
Despesas Tributárias
</t>
        </r>
      </text>
    </comment>
    <comment ref="I16" authorId="0" shapeId="0" xr:uid="{00000000-0006-0000-0500-000007000000}">
      <text>
        <r>
          <rPr>
            <b/>
            <sz val="8"/>
            <color indexed="81"/>
            <rFont val="Tahoma"/>
            <family val="2"/>
          </rPr>
          <t xml:space="preserve">Joka:
Despesa com Pessoal
Encargos Sociais
Despesas Gerais Comerciais
Despesas com MKTOOLS
Despesas Administrativas
Despesas Tributárias
</t>
        </r>
      </text>
    </comment>
    <comment ref="J16" authorId="0" shapeId="0" xr:uid="{00000000-0006-0000-0500-000008000000}">
      <text>
        <r>
          <rPr>
            <b/>
            <sz val="8"/>
            <color indexed="81"/>
            <rFont val="Tahoma"/>
            <family val="2"/>
          </rPr>
          <t xml:space="preserve">Joka:
Despesa com Pessoal
Encargos Sociais
Despesas Gerais Comerciais
Despesas com MKTOOLS
Despesas Administrativas
Despesas Tributárias
</t>
        </r>
      </text>
    </comment>
    <comment ref="K16" authorId="0" shapeId="0" xr:uid="{00000000-0006-0000-0500-000009000000}">
      <text>
        <r>
          <rPr>
            <b/>
            <sz val="8"/>
            <color indexed="81"/>
            <rFont val="Tahoma"/>
            <family val="2"/>
          </rPr>
          <t xml:space="preserve">Joaquim:
Despesa com Pessoal
Encargos Sociais
Despesas Gerais Comerciais
Despesas com MKTOOLS
Despesas Administrativas
Despesas Tributárias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L16" authorId="0" shapeId="0" xr:uid="{00000000-0006-0000-0500-00000A000000}">
      <text>
        <r>
          <rPr>
            <b/>
            <sz val="8"/>
            <color indexed="81"/>
            <rFont val="Tahoma"/>
            <family val="2"/>
          </rPr>
          <t xml:space="preserve">Joaquim:
Despesa com Pessoal
Encargos Sociais
Despesas Gerais Comerciais
Despesas com MKTOOLS
Despesas Administrativas
Despesas Tributárias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M16" authorId="0" shapeId="0" xr:uid="{00000000-0006-0000-0500-00000B000000}">
      <text>
        <r>
          <rPr>
            <b/>
            <sz val="8"/>
            <color indexed="81"/>
            <rFont val="Tahoma"/>
            <family val="2"/>
          </rPr>
          <t xml:space="preserve">Joaquim:
Despesa com Pessoal
Encargos Sociais
Despesas Gerais Comerciais
Despesas com MKTOOLS
Despesas Administrativas
Despesas Tributárias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36" authorId="1" shapeId="0" xr:uid="{00000000-0006-0000-0500-00000C000000}">
      <text>
        <r>
          <rPr>
            <b/>
            <sz val="8"/>
            <color indexed="8"/>
            <rFont val="Times New Roman"/>
            <family val="1"/>
          </rPr>
          <t xml:space="preserve">RDA AVALIAÇÕES:
</t>
        </r>
        <r>
          <rPr>
            <sz val="8"/>
            <color indexed="8"/>
            <rFont val="Times New Roman"/>
            <family val="1"/>
          </rPr>
          <t>Valor correspondente ao período sob análise, que pode ser encontrado no DOAR - Demonstração das Origens e Aplicações de Recursos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DANY</author>
    <author>fjo</author>
  </authors>
  <commentList>
    <comment ref="C16" authorId="0" shapeId="0" xr:uid="{00000000-0006-0000-0600-000001000000}">
      <text>
        <r>
          <rPr>
            <b/>
            <sz val="8"/>
            <color indexed="81"/>
            <rFont val="Tahoma"/>
            <family val="2"/>
          </rPr>
          <t xml:space="preserve">Joka:
Despesa com Pessoal
Encargos Sociais
Despesas Gerais Comerciais
Despesas com MKTOOLS
Despesas Administrativas
Despesas Tributárias
</t>
        </r>
      </text>
    </comment>
    <comment ref="D16" authorId="0" shapeId="0" xr:uid="{00000000-0006-0000-0600-000002000000}">
      <text>
        <r>
          <rPr>
            <b/>
            <sz val="8"/>
            <color indexed="81"/>
            <rFont val="Tahoma"/>
            <family val="2"/>
          </rPr>
          <t xml:space="preserve">Joka:
Despesa com Pessoal
Encargos Sociais
Despesas Gerais Comerciais
Despesas com MKTOOLS
Despesas Administrativas
Despesas Tributárias
</t>
        </r>
      </text>
    </comment>
    <comment ref="E16" authorId="0" shapeId="0" xr:uid="{00000000-0006-0000-0600-000003000000}">
      <text>
        <r>
          <rPr>
            <b/>
            <sz val="8"/>
            <color indexed="81"/>
            <rFont val="Tahoma"/>
            <family val="2"/>
          </rPr>
          <t xml:space="preserve">Joka:
Despesa com Pessoal
Encargos Sociais
Despesas Gerais Comerciais
Despesas com MKTOOLS
Despesas Administrativas
Despesas Tributárias
</t>
        </r>
      </text>
    </comment>
    <comment ref="F16" authorId="0" shapeId="0" xr:uid="{00000000-0006-0000-0600-000004000000}">
      <text>
        <r>
          <rPr>
            <b/>
            <sz val="8"/>
            <color indexed="81"/>
            <rFont val="Tahoma"/>
            <family val="2"/>
          </rPr>
          <t xml:space="preserve">Joka:
Despesa com Pessoal
Encargos Sociais
Despesas Gerais Comerciais
Despesas com MKTOOLS
Despesas Administrativas
Despesas Tributárias
</t>
        </r>
      </text>
    </comment>
    <comment ref="G16" authorId="0" shapeId="0" xr:uid="{00000000-0006-0000-0600-000005000000}">
      <text>
        <r>
          <rPr>
            <b/>
            <sz val="8"/>
            <color indexed="81"/>
            <rFont val="Tahoma"/>
            <family val="2"/>
          </rPr>
          <t xml:space="preserve">Joka:
Despesa com Pessoal
Encargos Sociais
Despesas Gerais Comerciais
Despesas com MKTOOLS
Despesas Administrativas
Despesas Tributárias
</t>
        </r>
      </text>
    </comment>
    <comment ref="H16" authorId="0" shapeId="0" xr:uid="{00000000-0006-0000-0600-000006000000}">
      <text>
        <r>
          <rPr>
            <b/>
            <sz val="8"/>
            <color indexed="81"/>
            <rFont val="Tahoma"/>
            <family val="2"/>
          </rPr>
          <t xml:space="preserve">Joka:
Despesa com Pessoal
Encargos Sociais
Despesas Gerais Comerciais
Despesas com MKTOOLS
Despesas Administrativas
Despesas Tributárias
</t>
        </r>
      </text>
    </comment>
    <comment ref="I16" authorId="0" shapeId="0" xr:uid="{00000000-0006-0000-0600-000007000000}">
      <text>
        <r>
          <rPr>
            <b/>
            <sz val="8"/>
            <color indexed="81"/>
            <rFont val="Tahoma"/>
            <family val="2"/>
          </rPr>
          <t xml:space="preserve">Joka:
Despesa com Pessoal
Encargos Sociais
Despesas Gerais Comerciais
Despesas com MKTOOLS
Despesas Administrativas
Despesas Tributárias
</t>
        </r>
      </text>
    </comment>
    <comment ref="J16" authorId="0" shapeId="0" xr:uid="{00000000-0006-0000-0600-000008000000}">
      <text>
        <r>
          <rPr>
            <b/>
            <sz val="8"/>
            <color indexed="81"/>
            <rFont val="Tahoma"/>
            <family val="2"/>
          </rPr>
          <t xml:space="preserve">Joka:
Despesa com Pessoal
Encargos Sociais
Despesas Gerais Comerciais
Despesas com MKTOOLS
Despesas Administrativas
Despesas Tributárias
</t>
        </r>
      </text>
    </comment>
    <comment ref="K16" authorId="0" shapeId="0" xr:uid="{00000000-0006-0000-0600-000009000000}">
      <text>
        <r>
          <rPr>
            <b/>
            <sz val="8"/>
            <color indexed="81"/>
            <rFont val="Tahoma"/>
            <family val="2"/>
          </rPr>
          <t xml:space="preserve">Joaquim:
Despesa com Pessoal
Encargos Sociais
Despesas Gerais Comerciais
Despesas com MKTOOLS
Despesas Administrativas
Despesas Tributárias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L16" authorId="0" shapeId="0" xr:uid="{00000000-0006-0000-0600-00000A000000}">
      <text>
        <r>
          <rPr>
            <b/>
            <sz val="8"/>
            <color indexed="81"/>
            <rFont val="Tahoma"/>
            <family val="2"/>
          </rPr>
          <t xml:space="preserve">Joaquim:
Despesa com Pessoal
Encargos Sociais
Despesas Gerais Comerciais
Despesas com MKTOOLS
Despesas Administrativas
Despesas Tributárias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M16" authorId="0" shapeId="0" xr:uid="{00000000-0006-0000-0600-00000B000000}">
      <text>
        <r>
          <rPr>
            <b/>
            <sz val="8"/>
            <color indexed="81"/>
            <rFont val="Tahoma"/>
            <family val="2"/>
          </rPr>
          <t xml:space="preserve">Joaquim:
Despesa com Pessoal
Encargos Sociais
Despesas Gerais Comerciais
Despesas com MKTOOLS
Despesas Administrativas
Despesas Tributárias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36" authorId="1" shapeId="0" xr:uid="{00000000-0006-0000-0600-00000C000000}">
      <text>
        <r>
          <rPr>
            <b/>
            <sz val="8"/>
            <color indexed="8"/>
            <rFont val="Times New Roman"/>
            <family val="1"/>
          </rPr>
          <t xml:space="preserve">RDA AVALIAÇÕES:
</t>
        </r>
        <r>
          <rPr>
            <sz val="8"/>
            <color indexed="8"/>
            <rFont val="Times New Roman"/>
            <family val="1"/>
          </rPr>
          <t>Valor correspondente ao período sob análise, que pode ser encontrado no DOAR - Demonstração das Origens e Aplicações de Recursos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DANY</author>
    <author>fjo</author>
  </authors>
  <commentList>
    <comment ref="C16" authorId="0" shapeId="0" xr:uid="{00000000-0006-0000-0700-000001000000}">
      <text>
        <r>
          <rPr>
            <b/>
            <sz val="8"/>
            <color indexed="81"/>
            <rFont val="Tahoma"/>
            <family val="2"/>
          </rPr>
          <t xml:space="preserve">Joka:
Despesa com Pessoal
Encargos Sociais
Despesas Gerais Comerciais
Despesas com MKTOOLS
Despesas Administrativas
Despesas Tributárias
</t>
        </r>
      </text>
    </comment>
    <comment ref="D16" authorId="0" shapeId="0" xr:uid="{00000000-0006-0000-0700-000002000000}">
      <text>
        <r>
          <rPr>
            <b/>
            <sz val="8"/>
            <color indexed="81"/>
            <rFont val="Tahoma"/>
            <family val="2"/>
          </rPr>
          <t xml:space="preserve">Joka:
Despesa com Pessoal
Encargos Sociais
Despesas Gerais Comerciais
Despesas com MKTOOLS
Despesas Administrativas
Despesas Tributárias
</t>
        </r>
      </text>
    </comment>
    <comment ref="E16" authorId="0" shapeId="0" xr:uid="{00000000-0006-0000-0700-000003000000}">
      <text>
        <r>
          <rPr>
            <b/>
            <sz val="8"/>
            <color indexed="81"/>
            <rFont val="Tahoma"/>
            <family val="2"/>
          </rPr>
          <t xml:space="preserve">Joka:
Despesa com Pessoal
Encargos Sociais
Despesas Gerais Comerciais
Despesas com MKTOOLS
Despesas Administrativas
Despesas Tributárias
</t>
        </r>
      </text>
    </comment>
    <comment ref="F16" authorId="0" shapeId="0" xr:uid="{00000000-0006-0000-0700-000004000000}">
      <text>
        <r>
          <rPr>
            <b/>
            <sz val="8"/>
            <color indexed="81"/>
            <rFont val="Tahoma"/>
            <family val="2"/>
          </rPr>
          <t xml:space="preserve">Joka:
Despesa com Pessoal
Encargos Sociais
Despesas Gerais Comerciais
Despesas com MKTOOLS
Despesas Administrativas
Despesas Tributárias
</t>
        </r>
      </text>
    </comment>
    <comment ref="G16" authorId="0" shapeId="0" xr:uid="{00000000-0006-0000-0700-000005000000}">
      <text>
        <r>
          <rPr>
            <b/>
            <sz val="8"/>
            <color indexed="81"/>
            <rFont val="Tahoma"/>
            <family val="2"/>
          </rPr>
          <t xml:space="preserve">Joka:
Despesa com Pessoal
Encargos Sociais
Despesas Gerais Comerciais
Despesas com MKTOOLS
Despesas Administrativas
Despesas Tributárias
</t>
        </r>
      </text>
    </comment>
    <comment ref="H16" authorId="0" shapeId="0" xr:uid="{00000000-0006-0000-0700-000006000000}">
      <text>
        <r>
          <rPr>
            <b/>
            <sz val="8"/>
            <color indexed="81"/>
            <rFont val="Tahoma"/>
            <family val="2"/>
          </rPr>
          <t xml:space="preserve">Joka:
Despesa com Pessoal
Encargos Sociais
Despesas Gerais Comerciais
Despesas com MKTOOLS
Despesas Administrativas
Despesas Tributárias
</t>
        </r>
      </text>
    </comment>
    <comment ref="I16" authorId="0" shapeId="0" xr:uid="{00000000-0006-0000-0700-000007000000}">
      <text>
        <r>
          <rPr>
            <b/>
            <sz val="8"/>
            <color indexed="81"/>
            <rFont val="Tahoma"/>
            <family val="2"/>
          </rPr>
          <t xml:space="preserve">Joka:
Despesa com Pessoal
Encargos Sociais
Despesas Gerais Comerciais
Despesas com MKTOOLS
Despesas Administrativas
Despesas Tributárias
</t>
        </r>
      </text>
    </comment>
    <comment ref="J16" authorId="0" shapeId="0" xr:uid="{00000000-0006-0000-0700-000008000000}">
      <text>
        <r>
          <rPr>
            <b/>
            <sz val="8"/>
            <color indexed="81"/>
            <rFont val="Tahoma"/>
            <family val="2"/>
          </rPr>
          <t xml:space="preserve">Joka:
Despesa com Pessoal
Encargos Sociais
Despesas Gerais Comerciais
Despesas com MKTOOLS
Despesas Administrativas
Despesas Tributárias
</t>
        </r>
      </text>
    </comment>
    <comment ref="L16" authorId="0" shapeId="0" xr:uid="{00000000-0006-0000-0700-00000A000000}">
      <text>
        <r>
          <rPr>
            <b/>
            <sz val="8"/>
            <color indexed="81"/>
            <rFont val="Tahoma"/>
            <family val="2"/>
          </rPr>
          <t xml:space="preserve">Joaquim:
Despesa com Pessoal
Encargos Sociais
Despesas Gerais Comerciais
Despesas com MKTOOLS
Despesas Administrativas
Despesas Tributárias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M16" authorId="0" shapeId="0" xr:uid="{00000000-0006-0000-0700-00000B000000}">
      <text>
        <r>
          <rPr>
            <b/>
            <sz val="8"/>
            <color indexed="81"/>
            <rFont val="Tahoma"/>
            <family val="2"/>
          </rPr>
          <t xml:space="preserve">Joaquim:
Despesa com Pessoal
Encargos Sociais
Despesas Gerais Comerciais
Despesas com MKTOOLS
Despesas Administrativas
Despesas Tributárias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36" authorId="1" shapeId="0" xr:uid="{00000000-0006-0000-0700-00000C000000}">
      <text>
        <r>
          <rPr>
            <b/>
            <sz val="8"/>
            <color indexed="8"/>
            <rFont val="Times New Roman"/>
            <family val="1"/>
          </rPr>
          <t xml:space="preserve">RDA AVALIAÇÕES:
</t>
        </r>
        <r>
          <rPr>
            <sz val="8"/>
            <color indexed="8"/>
            <rFont val="Times New Roman"/>
            <family val="1"/>
          </rPr>
          <t>Valor correspondente ao período sob análise, que pode ser encontrado no DOAR - Demonstração das Origens e Aplicações de Recursos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fjo</author>
  </authors>
  <commentList>
    <comment ref="A30" authorId="0" shapeId="0" xr:uid="{00000000-0006-0000-0800-000001000000}">
      <text>
        <r>
          <rPr>
            <b/>
            <sz val="8"/>
            <color indexed="8"/>
            <rFont val="Times New Roman"/>
            <family val="1"/>
          </rPr>
          <t xml:space="preserve">RDA AVALIAÇÕES:
</t>
        </r>
        <r>
          <rPr>
            <sz val="8"/>
            <color indexed="8"/>
            <rFont val="Times New Roman"/>
            <family val="1"/>
          </rPr>
          <t>Valor correspondente ao período sob análise, que pode ser encontrado no DOAR - Demonstração das Origens e Aplicações de Recursos</t>
        </r>
      </text>
    </comment>
  </commentList>
</comments>
</file>

<file path=xl/sharedStrings.xml><?xml version="1.0" encoding="utf-8"?>
<sst xmlns="http://schemas.openxmlformats.org/spreadsheetml/2006/main" count="555" uniqueCount="50">
  <si>
    <t>DRE</t>
  </si>
  <si>
    <t>Mês</t>
  </si>
  <si>
    <t>Empresa: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</si>
  <si>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</si>
  <si>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</si>
  <si>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</si>
  <si>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</si>
  <si>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</si>
  <si>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</si>
  <si>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</si>
  <si>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</si>
  <si>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</si>
  <si>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</si>
  <si>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</si>
  <si>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</si>
  <si>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 xml:space="preserve">Receita Operacional Bruta: </t>
  </si>
  <si>
    <t>Deduções da Receita Bruta (Impostos sobre Vendas):</t>
  </si>
  <si>
    <t>Receita Operacional Líquida:</t>
  </si>
  <si>
    <t>Custo dos Produtos Vendidos e dos Serviços Prestados:</t>
  </si>
  <si>
    <t>Lucro Bruto:</t>
  </si>
  <si>
    <t>Despesas Operacionais:</t>
  </si>
  <si>
    <t>- Despesas com Vendas:</t>
  </si>
  <si>
    <t>- Despesas Gerais e Administrativas:</t>
  </si>
  <si>
    <t>- Despesas Financeiras</t>
  </si>
  <si>
    <t>- Correção Monetária</t>
  </si>
  <si>
    <t xml:space="preserve">- </t>
  </si>
  <si>
    <t>Lucro Operacional:</t>
  </si>
  <si>
    <t>Outras Receitas/ Despesas não Operacionais:</t>
  </si>
  <si>
    <t>Lucro Antes do Imposto de Renda:</t>
  </si>
  <si>
    <t>Imposto de Renda:</t>
  </si>
  <si>
    <t>Lucro Líquido:</t>
  </si>
  <si>
    <t>Demonstração de Resultado do Exercício</t>
  </si>
  <si>
    <t>Ano:</t>
  </si>
  <si>
    <t xml:space="preserve">Custo dos Produtos Vendidos e dos Serviços Prestados: </t>
  </si>
  <si>
    <t xml:space="preserve"> EBIT</t>
  </si>
  <si>
    <t>+ Depreciação</t>
  </si>
  <si>
    <t>EBITDA</t>
  </si>
  <si>
    <t>Variação mensal</t>
  </si>
  <si>
    <t>-</t>
  </si>
  <si>
    <t>Variação Acumulada</t>
  </si>
  <si>
    <t>Receita Financeira</t>
  </si>
  <si>
    <t>EBITDA / 2010</t>
  </si>
  <si>
    <t>EBITDA / 2011 MENSAL</t>
  </si>
  <si>
    <t>EBITDA / 2011 ACUMULADA</t>
  </si>
  <si>
    <t>WONDERFUL PROPAGANDA LTDA</t>
  </si>
  <si>
    <t>EBITDA / 2014 ACUMULADA</t>
  </si>
  <si>
    <t>Imposto de Renda/CSLL:</t>
  </si>
  <si>
    <t>EBITDA / 2015 ACUMULADA</t>
  </si>
  <si>
    <t>EBITDA / 2016 ACUMULADA</t>
  </si>
  <si>
    <t>EBITDA / 2017 ACUMULADA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</si>
</sst>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0.0%"/>
    <numFmt numFmtId="167" formatCode="_(* #,##0.00_);_(* \(#,##0.00\);_(* &quot;-&quot;_);_(@_)"/>
    <numFmt numFmtId="168" formatCode="#,##0.00_ ;\-#,##0.00\ "/>
  </numFmts>
  <fonts count="25" x14ac:knownFonts="1">
    <font>
      <sz val="10"/>
      <name val="Arial"/>
      <family val="2"/>
    </font>
    <font>
      <b/>
      <i/>
      <sz val="8"/>
      <color indexed="9"/>
      <name val="Arial"/>
      <family val="2"/>
    </font>
    <font>
      <b/>
      <i/>
      <sz val="8"/>
      <color indexed="12"/>
      <name val="Arial"/>
      <family val="2"/>
    </font>
    <font>
      <i/>
      <sz val="8"/>
      <color indexed="10"/>
      <name val="Arial"/>
      <family val="2"/>
    </font>
    <font>
      <i/>
      <sz val="8"/>
      <name val="Arial"/>
      <family val="2"/>
    </font>
    <font>
      <i/>
      <sz val="8"/>
      <color indexed="9"/>
      <name val="Arial"/>
      <family val="2"/>
    </font>
    <font>
      <i/>
      <sz val="8"/>
      <color indexed="12"/>
      <name val="Arial"/>
      <family val="2"/>
    </font>
    <font>
      <b/>
      <sz val="8"/>
      <color indexed="8"/>
      <name val="Times New Roman"/>
      <family val="1"/>
    </font>
    <font>
      <sz val="8"/>
      <color indexed="8"/>
      <name val="Times New Roman"/>
      <family val="1"/>
    </font>
    <font>
      <b/>
      <i/>
      <sz val="10"/>
      <color indexed="9"/>
      <name val="Arial"/>
      <family val="2"/>
    </font>
    <font>
      <b/>
      <i/>
      <sz val="10"/>
      <color indexed="12"/>
      <name val="Arial"/>
      <family val="2"/>
    </font>
    <font>
      <i/>
      <sz val="10"/>
      <color indexed="10"/>
      <name val="Arial"/>
      <family val="2"/>
    </font>
    <font>
      <i/>
      <sz val="10"/>
      <name val="Arial"/>
      <family val="2"/>
    </font>
    <font>
      <i/>
      <sz val="10"/>
      <color indexed="9"/>
      <name val="Arial"/>
      <family val="2"/>
    </font>
    <font>
      <i/>
      <sz val="10"/>
      <color indexed="12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i/>
      <sz val="8"/>
      <name val="Arial"/>
      <family val="2"/>
    </font>
    <font>
      <i/>
      <sz val="8"/>
      <color indexed="52"/>
      <name val="Arial"/>
      <family val="2"/>
    </font>
    <font>
      <b/>
      <sz val="14"/>
      <name val="Arial"/>
      <family val="2"/>
    </font>
    <font>
      <i/>
      <sz val="8"/>
      <color indexed="8"/>
      <name val="Arial"/>
      <family val="2"/>
    </font>
    <font>
      <b/>
      <i/>
      <sz val="8"/>
      <color indexed="8"/>
      <name val="Arial"/>
      <family val="2"/>
    </font>
    <font>
      <b/>
      <i/>
      <sz val="14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</cellStyleXfs>
  <cellXfs count="196">
    <xf numFmtId="0" fontId="0" fillId="0" borderId="0" xfId="0"/>
    <xf numFmtId="0" fontId="1" fillId="0" borderId="1" xfId="0" applyFont="1" applyFill="1" applyBorder="1" applyAlignment="1">
      <alignment horizontal="center" vertical="top" wrapText="1"/>
    </xf>
    <xf numFmtId="0" fontId="0" fillId="0" borderId="0" xfId="0" applyFill="1"/>
    <xf numFmtId="0" fontId="1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vertical="top" wrapText="1"/>
    </xf>
    <xf numFmtId="4" fontId="3" fillId="0" borderId="3" xfId="0" applyNumberFormat="1" applyFont="1" applyFill="1" applyBorder="1" applyAlignment="1">
      <alignment vertical="top" wrapText="1"/>
    </xf>
    <xf numFmtId="4" fontId="3" fillId="0" borderId="4" xfId="0" applyNumberFormat="1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4" fontId="4" fillId="0" borderId="3" xfId="0" applyNumberFormat="1" applyFont="1" applyFill="1" applyBorder="1" applyAlignment="1">
      <alignment vertical="top" wrapText="1"/>
    </xf>
    <xf numFmtId="4" fontId="4" fillId="0" borderId="4" xfId="0" applyNumberFormat="1" applyFont="1" applyFill="1" applyBorder="1" applyAlignment="1">
      <alignment vertical="top" wrapText="1"/>
    </xf>
    <xf numFmtId="4" fontId="4" fillId="0" borderId="3" xfId="0" applyNumberFormat="1" applyFont="1" applyFill="1" applyBorder="1" applyAlignment="1">
      <alignment horizontal="center" vertical="top" wrapText="1"/>
    </xf>
    <xf numFmtId="4" fontId="4" fillId="0" borderId="4" xfId="0" applyNumberFormat="1" applyFont="1" applyFill="1" applyBorder="1" applyAlignment="1">
      <alignment horizontal="center" vertical="top" wrapText="1"/>
    </xf>
    <xf numFmtId="4" fontId="5" fillId="0" borderId="3" xfId="0" applyNumberFormat="1" applyFont="1" applyFill="1" applyBorder="1" applyAlignment="1">
      <alignment vertical="top" wrapText="1"/>
    </xf>
    <xf numFmtId="4" fontId="5" fillId="0" borderId="4" xfId="0" applyNumberFormat="1" applyFont="1" applyFill="1" applyBorder="1" applyAlignment="1">
      <alignment vertical="top" wrapText="1"/>
    </xf>
    <xf numFmtId="0" fontId="4" fillId="0" borderId="5" xfId="0" applyFont="1" applyFill="1" applyBorder="1"/>
    <xf numFmtId="4" fontId="4" fillId="0" borderId="0" xfId="0" applyNumberFormat="1" applyFont="1" applyFill="1" applyBorder="1"/>
    <xf numFmtId="4" fontId="4" fillId="0" borderId="6" xfId="0" applyNumberFormat="1" applyFont="1" applyFill="1" applyBorder="1"/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left" vertical="top" wrapText="1"/>
    </xf>
    <xf numFmtId="49" fontId="5" fillId="0" borderId="3" xfId="2" applyNumberFormat="1" applyFont="1" applyFill="1" applyBorder="1" applyAlignment="1" applyProtection="1">
      <alignment horizontal="center" vertical="top" wrapText="1"/>
    </xf>
    <xf numFmtId="49" fontId="5" fillId="0" borderId="4" xfId="2" applyNumberFormat="1" applyFont="1" applyFill="1" applyBorder="1" applyAlignment="1" applyProtection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4" fontId="6" fillId="0" borderId="3" xfId="0" applyNumberFormat="1" applyFont="1" applyFill="1" applyBorder="1" applyAlignment="1">
      <alignment vertical="top" wrapText="1"/>
    </xf>
    <xf numFmtId="4" fontId="6" fillId="0" borderId="4" xfId="0" applyNumberFormat="1" applyFont="1" applyFill="1" applyBorder="1" applyAlignment="1">
      <alignment vertical="top" wrapText="1"/>
    </xf>
    <xf numFmtId="0" fontId="6" fillId="0" borderId="2" xfId="0" applyFont="1" applyFill="1" applyBorder="1" applyAlignment="1">
      <alignment horizontal="left" vertical="top" wrapText="1"/>
    </xf>
    <xf numFmtId="4" fontId="6" fillId="0" borderId="3" xfId="0" applyNumberFormat="1" applyFont="1" applyFill="1" applyBorder="1" applyAlignment="1">
      <alignment horizontal="right" vertical="top" wrapText="1"/>
    </xf>
    <xf numFmtId="4" fontId="6" fillId="0" borderId="4" xfId="0" applyNumberFormat="1" applyFont="1" applyFill="1" applyBorder="1" applyAlignment="1">
      <alignment horizontal="right" vertical="top" wrapText="1"/>
    </xf>
    <xf numFmtId="0" fontId="2" fillId="0" borderId="5" xfId="0" applyFont="1" applyFill="1" applyBorder="1"/>
    <xf numFmtId="0" fontId="6" fillId="0" borderId="0" xfId="0" applyFont="1" applyFill="1" applyBorder="1" applyAlignment="1">
      <alignment horizontal="center"/>
    </xf>
    <xf numFmtId="166" fontId="6" fillId="0" borderId="0" xfId="1" applyNumberFormat="1" applyFont="1" applyFill="1" applyBorder="1" applyAlignment="1" applyProtection="1">
      <alignment horizontal="center"/>
    </xf>
    <xf numFmtId="166" fontId="6" fillId="0" borderId="6" xfId="1" applyNumberFormat="1" applyFont="1" applyFill="1" applyBorder="1" applyAlignment="1" applyProtection="1">
      <alignment horizontal="center"/>
    </xf>
    <xf numFmtId="165" fontId="6" fillId="0" borderId="0" xfId="2" applyFont="1" applyFill="1" applyBorder="1" applyAlignment="1" applyProtection="1">
      <alignment horizontal="center"/>
    </xf>
    <xf numFmtId="165" fontId="6" fillId="0" borderId="6" xfId="2" applyFont="1" applyFill="1" applyBorder="1" applyAlignment="1" applyProtection="1">
      <alignment horizontal="center"/>
    </xf>
    <xf numFmtId="0" fontId="2" fillId="0" borderId="7" xfId="0" applyFont="1" applyFill="1" applyBorder="1"/>
    <xf numFmtId="0" fontId="6" fillId="0" borderId="8" xfId="0" applyFont="1" applyFill="1" applyBorder="1" applyAlignment="1">
      <alignment horizontal="center"/>
    </xf>
    <xf numFmtId="10" fontId="6" fillId="0" borderId="8" xfId="1" applyNumberFormat="1" applyFont="1" applyFill="1" applyBorder="1" applyAlignment="1" applyProtection="1">
      <alignment horizontal="center"/>
    </xf>
    <xf numFmtId="10" fontId="6" fillId="0" borderId="9" xfId="1" applyNumberFormat="1" applyFont="1" applyFill="1" applyBorder="1" applyAlignment="1" applyProtection="1">
      <alignment horizontal="center"/>
    </xf>
    <xf numFmtId="0" fontId="15" fillId="0" borderId="0" xfId="0" applyFont="1" applyFill="1"/>
    <xf numFmtId="0" fontId="2" fillId="0" borderId="10" xfId="0" applyFont="1" applyFill="1" applyBorder="1" applyAlignment="1">
      <alignment horizontal="center" vertical="top" wrapText="1"/>
    </xf>
    <xf numFmtId="4" fontId="3" fillId="0" borderId="10" xfId="0" applyNumberFormat="1" applyFont="1" applyFill="1" applyBorder="1" applyAlignment="1">
      <alignment vertical="top" wrapText="1"/>
    </xf>
    <xf numFmtId="4" fontId="4" fillId="0" borderId="10" xfId="0" applyNumberFormat="1" applyFont="1" applyFill="1" applyBorder="1" applyAlignment="1">
      <alignment vertical="top" wrapText="1"/>
    </xf>
    <xf numFmtId="4" fontId="4" fillId="0" borderId="10" xfId="0" applyNumberFormat="1" applyFont="1" applyFill="1" applyBorder="1" applyAlignment="1">
      <alignment horizontal="center" vertical="top" wrapText="1"/>
    </xf>
    <xf numFmtId="4" fontId="5" fillId="0" borderId="10" xfId="0" applyNumberFormat="1" applyFont="1" applyFill="1" applyBorder="1" applyAlignment="1">
      <alignment vertical="top" wrapText="1"/>
    </xf>
    <xf numFmtId="0" fontId="1" fillId="0" borderId="10" xfId="0" applyFont="1" applyFill="1" applyBorder="1" applyAlignment="1">
      <alignment horizontal="center" vertical="top" wrapText="1"/>
    </xf>
    <xf numFmtId="49" fontId="5" fillId="0" borderId="10" xfId="2" applyNumberFormat="1" applyFont="1" applyFill="1" applyBorder="1" applyAlignment="1" applyProtection="1">
      <alignment horizontal="center" vertical="top" wrapText="1"/>
    </xf>
    <xf numFmtId="4" fontId="6" fillId="0" borderId="10" xfId="0" applyNumberFormat="1" applyFont="1" applyFill="1" applyBorder="1" applyAlignment="1">
      <alignment vertical="top" wrapText="1"/>
    </xf>
    <xf numFmtId="4" fontId="6" fillId="0" borderId="10" xfId="0" applyNumberFormat="1" applyFont="1" applyFill="1" applyBorder="1" applyAlignment="1">
      <alignment horizontal="right" vertical="top" wrapText="1"/>
    </xf>
    <xf numFmtId="0" fontId="9" fillId="0" borderId="11" xfId="0" applyFont="1" applyFill="1" applyBorder="1" applyAlignment="1">
      <alignment horizontal="center" vertical="top" wrapText="1"/>
    </xf>
    <xf numFmtId="0" fontId="9" fillId="0" borderId="12" xfId="0" applyFont="1" applyFill="1" applyBorder="1" applyAlignment="1">
      <alignment horizontal="left" vertical="top" wrapText="1"/>
    </xf>
    <xf numFmtId="0" fontId="10" fillId="0" borderId="13" xfId="0" applyFont="1" applyFill="1" applyBorder="1" applyAlignment="1">
      <alignment horizontal="center" vertical="top" wrapText="1"/>
    </xf>
    <xf numFmtId="0" fontId="11" fillId="0" borderId="14" xfId="0" applyFont="1" applyFill="1" applyBorder="1" applyAlignment="1">
      <alignment vertical="top" wrapText="1"/>
    </xf>
    <xf numFmtId="4" fontId="11" fillId="0" borderId="15" xfId="0" applyNumberFormat="1" applyFont="1" applyFill="1" applyBorder="1" applyAlignment="1">
      <alignment vertical="top" wrapText="1"/>
    </xf>
    <xf numFmtId="0" fontId="12" fillId="0" borderId="14" xfId="0" applyFont="1" applyFill="1" applyBorder="1" applyAlignment="1">
      <alignment vertical="top" wrapText="1"/>
    </xf>
    <xf numFmtId="4" fontId="12" fillId="0" borderId="15" xfId="0" applyNumberFormat="1" applyFont="1" applyFill="1" applyBorder="1" applyAlignment="1">
      <alignment vertical="top" wrapText="1"/>
    </xf>
    <xf numFmtId="4" fontId="12" fillId="0" borderId="15" xfId="0" applyNumberFormat="1" applyFont="1" applyFill="1" applyBorder="1" applyAlignment="1">
      <alignment horizontal="center" vertical="top" wrapText="1"/>
    </xf>
    <xf numFmtId="0" fontId="13" fillId="0" borderId="14" xfId="0" applyFont="1" applyFill="1" applyBorder="1" applyAlignment="1">
      <alignment vertical="top" wrapText="1"/>
    </xf>
    <xf numFmtId="4" fontId="13" fillId="0" borderId="15" xfId="0" applyNumberFormat="1" applyFont="1" applyFill="1" applyBorder="1" applyAlignment="1">
      <alignment vertical="top" wrapText="1"/>
    </xf>
    <xf numFmtId="0" fontId="12" fillId="0" borderId="16" xfId="0" applyFont="1" applyFill="1" applyBorder="1"/>
    <xf numFmtId="4" fontId="12" fillId="0" borderId="17" xfId="0" applyNumberFormat="1" applyFont="1" applyFill="1" applyBorder="1"/>
    <xf numFmtId="0" fontId="9" fillId="0" borderId="14" xfId="0" applyFont="1" applyFill="1" applyBorder="1" applyAlignment="1">
      <alignment horizontal="center" vertical="top" wrapText="1"/>
    </xf>
    <xf numFmtId="0" fontId="9" fillId="0" borderId="15" xfId="0" applyFont="1" applyFill="1" applyBorder="1" applyAlignment="1">
      <alignment horizontal="center" vertical="top" wrapText="1"/>
    </xf>
    <xf numFmtId="0" fontId="13" fillId="0" borderId="14" xfId="0" applyFont="1" applyFill="1" applyBorder="1" applyAlignment="1">
      <alignment horizontal="left" vertical="top" wrapText="1"/>
    </xf>
    <xf numFmtId="49" fontId="13" fillId="0" borderId="15" xfId="2" applyNumberFormat="1" applyFont="1" applyFill="1" applyBorder="1" applyAlignment="1" applyProtection="1">
      <alignment horizontal="center" vertical="top" wrapText="1"/>
    </xf>
    <xf numFmtId="0" fontId="14" fillId="0" borderId="14" xfId="0" applyFont="1" applyFill="1" applyBorder="1" applyAlignment="1">
      <alignment vertical="top" wrapText="1"/>
    </xf>
    <xf numFmtId="4" fontId="14" fillId="0" borderId="15" xfId="0" applyNumberFormat="1" applyFont="1" applyFill="1" applyBorder="1" applyAlignment="1">
      <alignment vertical="top" wrapText="1"/>
    </xf>
    <xf numFmtId="0" fontId="14" fillId="0" borderId="14" xfId="0" applyFont="1" applyFill="1" applyBorder="1" applyAlignment="1">
      <alignment horizontal="left" vertical="top" wrapText="1"/>
    </xf>
    <xf numFmtId="4" fontId="14" fillId="0" borderId="15" xfId="0" applyNumberFormat="1" applyFont="1" applyFill="1" applyBorder="1" applyAlignment="1">
      <alignment horizontal="right" vertical="top" wrapText="1"/>
    </xf>
    <xf numFmtId="0" fontId="10" fillId="0" borderId="16" xfId="0" applyFont="1" applyFill="1" applyBorder="1"/>
    <xf numFmtId="0" fontId="14" fillId="0" borderId="17" xfId="0" applyFont="1" applyFill="1" applyBorder="1" applyAlignment="1">
      <alignment horizontal="center"/>
    </xf>
    <xf numFmtId="0" fontId="10" fillId="0" borderId="18" xfId="0" applyFont="1" applyFill="1" applyBorder="1"/>
    <xf numFmtId="0" fontId="14" fillId="0" borderId="19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 vertical="top" wrapText="1"/>
    </xf>
    <xf numFmtId="4" fontId="3" fillId="0" borderId="21" xfId="0" applyNumberFormat="1" applyFont="1" applyFill="1" applyBorder="1" applyAlignment="1">
      <alignment vertical="top" wrapText="1"/>
    </xf>
    <xf numFmtId="4" fontId="4" fillId="0" borderId="21" xfId="0" applyNumberFormat="1" applyFont="1" applyFill="1" applyBorder="1" applyAlignment="1">
      <alignment vertical="top" wrapText="1"/>
    </xf>
    <xf numFmtId="4" fontId="4" fillId="0" borderId="21" xfId="0" applyNumberFormat="1" applyFont="1" applyFill="1" applyBorder="1" applyAlignment="1">
      <alignment horizontal="center" vertical="top" wrapText="1"/>
    </xf>
    <xf numFmtId="4" fontId="4" fillId="0" borderId="17" xfId="0" applyNumberFormat="1" applyFont="1" applyFill="1" applyBorder="1"/>
    <xf numFmtId="49" fontId="5" fillId="0" borderId="21" xfId="2" applyNumberFormat="1" applyFont="1" applyFill="1" applyBorder="1" applyAlignment="1" applyProtection="1">
      <alignment horizontal="center" vertical="top" wrapText="1"/>
    </xf>
    <xf numFmtId="4" fontId="6" fillId="0" borderId="21" xfId="0" applyNumberFormat="1" applyFont="1" applyFill="1" applyBorder="1" applyAlignment="1">
      <alignment vertical="top" wrapText="1"/>
    </xf>
    <xf numFmtId="4" fontId="6" fillId="0" borderId="21" xfId="0" applyNumberFormat="1" applyFont="1" applyFill="1" applyBorder="1" applyAlignment="1">
      <alignment horizontal="right" vertical="top" wrapText="1"/>
    </xf>
    <xf numFmtId="166" fontId="6" fillId="0" borderId="17" xfId="1" applyNumberFormat="1" applyFont="1" applyFill="1" applyBorder="1" applyAlignment="1" applyProtection="1">
      <alignment horizontal="center"/>
    </xf>
    <xf numFmtId="165" fontId="6" fillId="0" borderId="17" xfId="2" applyFont="1" applyFill="1" applyBorder="1" applyAlignment="1" applyProtection="1">
      <alignment horizontal="center"/>
    </xf>
    <xf numFmtId="10" fontId="6" fillId="0" borderId="19" xfId="1" applyNumberFormat="1" applyFont="1" applyFill="1" applyBorder="1" applyAlignment="1" applyProtection="1">
      <alignment horizontal="center"/>
    </xf>
    <xf numFmtId="0" fontId="16" fillId="0" borderId="14" xfId="0" applyFont="1" applyFill="1" applyBorder="1" applyAlignment="1">
      <alignment horizontal="center" vertical="top" wrapText="1"/>
    </xf>
    <xf numFmtId="0" fontId="16" fillId="0" borderId="15" xfId="0" applyFont="1" applyFill="1" applyBorder="1" applyAlignment="1">
      <alignment horizontal="center" vertical="top" wrapText="1"/>
    </xf>
    <xf numFmtId="0" fontId="17" fillId="0" borderId="21" xfId="0" applyFont="1" applyFill="1" applyBorder="1" applyAlignment="1">
      <alignment horizontal="center" vertical="top" wrapText="1"/>
    </xf>
    <xf numFmtId="0" fontId="16" fillId="0" borderId="14" xfId="0" applyFont="1" applyFill="1" applyBorder="1" applyAlignment="1">
      <alignment vertical="top" wrapText="1"/>
    </xf>
    <xf numFmtId="4" fontId="16" fillId="0" borderId="15" xfId="0" applyNumberFormat="1" applyFont="1" applyFill="1" applyBorder="1" applyAlignment="1">
      <alignment vertical="top" wrapText="1"/>
    </xf>
    <xf numFmtId="4" fontId="17" fillId="0" borderId="21" xfId="0" applyNumberFormat="1" applyFont="1" applyFill="1" applyBorder="1" applyAlignment="1">
      <alignment vertical="top" wrapText="1"/>
    </xf>
    <xf numFmtId="0" fontId="18" fillId="0" borderId="2" xfId="0" applyFont="1" applyFill="1" applyBorder="1" applyAlignment="1">
      <alignment vertical="top" wrapText="1"/>
    </xf>
    <xf numFmtId="4" fontId="18" fillId="0" borderId="3" xfId="0" applyNumberFormat="1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4" fontId="3" fillId="2" borderId="3" xfId="0" applyNumberFormat="1" applyFont="1" applyFill="1" applyBorder="1" applyAlignment="1">
      <alignment vertical="top" wrapText="1"/>
    </xf>
    <xf numFmtId="4" fontId="3" fillId="2" borderId="4" xfId="0" applyNumberFormat="1" applyFont="1" applyFill="1" applyBorder="1" applyAlignment="1">
      <alignment vertical="top" wrapText="1"/>
    </xf>
    <xf numFmtId="4" fontId="4" fillId="2" borderId="3" xfId="0" applyNumberFormat="1" applyFont="1" applyFill="1" applyBorder="1" applyAlignment="1">
      <alignment vertical="top" wrapText="1"/>
    </xf>
    <xf numFmtId="4" fontId="4" fillId="2" borderId="4" xfId="0" applyNumberFormat="1" applyFont="1" applyFill="1" applyBorder="1" applyAlignment="1">
      <alignment vertical="top" wrapText="1"/>
    </xf>
    <xf numFmtId="4" fontId="18" fillId="2" borderId="3" xfId="0" applyNumberFormat="1" applyFont="1" applyFill="1" applyBorder="1" applyAlignment="1">
      <alignment vertical="top" wrapText="1"/>
    </xf>
    <xf numFmtId="4" fontId="4" fillId="2" borderId="3" xfId="0" applyNumberFormat="1" applyFont="1" applyFill="1" applyBorder="1" applyAlignment="1">
      <alignment horizontal="center" vertical="top" wrapText="1"/>
    </xf>
    <xf numFmtId="4" fontId="4" fillId="2" borderId="4" xfId="0" applyNumberFormat="1" applyFont="1" applyFill="1" applyBorder="1" applyAlignment="1">
      <alignment horizontal="center" vertical="top" wrapText="1"/>
    </xf>
    <xf numFmtId="4" fontId="4" fillId="2" borderId="0" xfId="0" applyNumberFormat="1" applyFont="1" applyFill="1" applyBorder="1"/>
    <xf numFmtId="4" fontId="4" fillId="2" borderId="6" xfId="0" applyNumberFormat="1" applyFont="1" applyFill="1" applyBorder="1"/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49" fontId="5" fillId="2" borderId="3" xfId="2" applyNumberFormat="1" applyFont="1" applyFill="1" applyBorder="1" applyAlignment="1" applyProtection="1">
      <alignment horizontal="center" vertical="top" wrapText="1"/>
    </xf>
    <xf numFmtId="49" fontId="5" fillId="2" borderId="4" xfId="2" applyNumberFormat="1" applyFont="1" applyFill="1" applyBorder="1" applyAlignment="1" applyProtection="1">
      <alignment horizontal="center" vertical="top" wrapText="1"/>
    </xf>
    <xf numFmtId="4" fontId="6" fillId="2" borderId="3" xfId="0" applyNumberFormat="1" applyFont="1" applyFill="1" applyBorder="1" applyAlignment="1">
      <alignment vertical="top" wrapText="1"/>
    </xf>
    <xf numFmtId="4" fontId="6" fillId="2" borderId="4" xfId="0" applyNumberFormat="1" applyFont="1" applyFill="1" applyBorder="1" applyAlignment="1">
      <alignment vertical="top" wrapText="1"/>
    </xf>
    <xf numFmtId="4" fontId="6" fillId="2" borderId="3" xfId="0" applyNumberFormat="1" applyFont="1" applyFill="1" applyBorder="1" applyAlignment="1">
      <alignment horizontal="right" vertical="top" wrapText="1"/>
    </xf>
    <xf numFmtId="4" fontId="6" fillId="2" borderId="4" xfId="0" applyNumberFormat="1" applyFont="1" applyFill="1" applyBorder="1" applyAlignment="1">
      <alignment horizontal="right" vertical="top" wrapText="1"/>
    </xf>
    <xf numFmtId="166" fontId="6" fillId="2" borderId="0" xfId="1" applyNumberFormat="1" applyFont="1" applyFill="1" applyBorder="1" applyAlignment="1" applyProtection="1">
      <alignment horizontal="center"/>
    </xf>
    <xf numFmtId="166" fontId="6" fillId="2" borderId="6" xfId="1" applyNumberFormat="1" applyFont="1" applyFill="1" applyBorder="1" applyAlignment="1" applyProtection="1">
      <alignment horizontal="center"/>
    </xf>
    <xf numFmtId="165" fontId="6" fillId="2" borderId="0" xfId="2" applyFont="1" applyFill="1" applyBorder="1" applyAlignment="1" applyProtection="1">
      <alignment horizontal="center"/>
    </xf>
    <xf numFmtId="165" fontId="6" fillId="2" borderId="6" xfId="2" applyFont="1" applyFill="1" applyBorder="1" applyAlignment="1" applyProtection="1">
      <alignment horizontal="center"/>
    </xf>
    <xf numFmtId="10" fontId="6" fillId="2" borderId="8" xfId="1" applyNumberFormat="1" applyFont="1" applyFill="1" applyBorder="1" applyAlignment="1" applyProtection="1">
      <alignment horizontal="center"/>
    </xf>
    <xf numFmtId="10" fontId="6" fillId="2" borderId="9" xfId="1" applyNumberFormat="1" applyFont="1" applyFill="1" applyBorder="1" applyAlignment="1" applyProtection="1">
      <alignment horizontal="center"/>
    </xf>
    <xf numFmtId="0" fontId="20" fillId="0" borderId="2" xfId="0" applyFont="1" applyFill="1" applyBorder="1" applyAlignment="1">
      <alignment vertical="top" wrapText="1"/>
    </xf>
    <xf numFmtId="4" fontId="20" fillId="0" borderId="3" xfId="0" applyNumberFormat="1" applyFont="1" applyFill="1" applyBorder="1" applyAlignment="1">
      <alignment vertical="top" wrapText="1"/>
    </xf>
    <xf numFmtId="0" fontId="21" fillId="0" borderId="2" xfId="0" applyFont="1" applyFill="1" applyBorder="1" applyAlignment="1">
      <alignment vertical="top" wrapText="1"/>
    </xf>
    <xf numFmtId="4" fontId="21" fillId="0" borderId="3" xfId="0" applyNumberFormat="1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4" fontId="2" fillId="0" borderId="3" xfId="0" applyNumberFormat="1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left" vertical="top" wrapText="1"/>
    </xf>
    <xf numFmtId="4" fontId="2" fillId="0" borderId="3" xfId="0" applyNumberFormat="1" applyFont="1" applyFill="1" applyBorder="1" applyAlignment="1">
      <alignment horizontal="right" vertical="top" wrapText="1"/>
    </xf>
    <xf numFmtId="4" fontId="17" fillId="0" borderId="3" xfId="0" applyNumberFormat="1" applyFont="1" applyFill="1" applyBorder="1" applyAlignment="1">
      <alignment vertical="top" wrapText="1"/>
    </xf>
    <xf numFmtId="4" fontId="17" fillId="0" borderId="4" xfId="0" applyNumberFormat="1" applyFont="1" applyFill="1" applyBorder="1" applyAlignment="1">
      <alignment vertical="top" wrapText="1"/>
    </xf>
    <xf numFmtId="0" fontId="1" fillId="0" borderId="30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left" vertical="top" wrapText="1"/>
    </xf>
    <xf numFmtId="0" fontId="2" fillId="0" borderId="15" xfId="0" applyFont="1" applyFill="1" applyBorder="1" applyAlignment="1">
      <alignment horizontal="center" vertical="top" wrapText="1"/>
    </xf>
    <xf numFmtId="0" fontId="21" fillId="0" borderId="14" xfId="0" applyFont="1" applyFill="1" applyBorder="1" applyAlignment="1">
      <alignment vertical="top" wrapText="1"/>
    </xf>
    <xf numFmtId="4" fontId="17" fillId="0" borderId="15" xfId="0" applyNumberFormat="1" applyFont="1" applyFill="1" applyBorder="1" applyAlignment="1">
      <alignment vertical="top" wrapText="1"/>
    </xf>
    <xf numFmtId="0" fontId="4" fillId="0" borderId="14" xfId="0" applyFont="1" applyFill="1" applyBorder="1" applyAlignment="1">
      <alignment vertical="top" wrapText="1"/>
    </xf>
    <xf numFmtId="4" fontId="4" fillId="0" borderId="15" xfId="0" applyNumberFormat="1" applyFont="1" applyFill="1" applyBorder="1" applyAlignment="1">
      <alignment vertical="top" wrapText="1"/>
    </xf>
    <xf numFmtId="0" fontId="20" fillId="0" borderId="14" xfId="0" applyFont="1" applyFill="1" applyBorder="1" applyAlignment="1">
      <alignment vertical="top" wrapText="1"/>
    </xf>
    <xf numFmtId="4" fontId="4" fillId="0" borderId="15" xfId="0" applyNumberFormat="1" applyFont="1" applyFill="1" applyBorder="1" applyAlignment="1">
      <alignment horizontal="center" vertical="top" wrapText="1"/>
    </xf>
    <xf numFmtId="0" fontId="4" fillId="0" borderId="16" xfId="0" applyFont="1" applyFill="1" applyBorder="1"/>
    <xf numFmtId="0" fontId="1" fillId="0" borderId="14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5" fillId="0" borderId="14" xfId="0" applyFont="1" applyFill="1" applyBorder="1" applyAlignment="1">
      <alignment horizontal="left" vertical="top" wrapText="1"/>
    </xf>
    <xf numFmtId="49" fontId="5" fillId="0" borderId="15" xfId="2" applyNumberFormat="1" applyFont="1" applyFill="1" applyBorder="1" applyAlignment="1" applyProtection="1">
      <alignment horizontal="center" vertical="top" wrapText="1"/>
    </xf>
    <xf numFmtId="0" fontId="2" fillId="0" borderId="14" xfId="0" applyFont="1" applyFill="1" applyBorder="1" applyAlignment="1">
      <alignment vertical="top" wrapText="1"/>
    </xf>
    <xf numFmtId="4" fontId="6" fillId="0" borderId="15" xfId="0" applyNumberFormat="1" applyFont="1" applyFill="1" applyBorder="1" applyAlignment="1">
      <alignment vertical="top" wrapText="1"/>
    </xf>
    <xf numFmtId="0" fontId="2" fillId="0" borderId="14" xfId="0" applyFont="1" applyFill="1" applyBorder="1" applyAlignment="1">
      <alignment horizontal="left" vertical="top" wrapText="1"/>
    </xf>
    <xf numFmtId="4" fontId="6" fillId="0" borderId="15" xfId="0" applyNumberFormat="1" applyFont="1" applyFill="1" applyBorder="1" applyAlignment="1">
      <alignment horizontal="right" vertical="top" wrapText="1"/>
    </xf>
    <xf numFmtId="0" fontId="2" fillId="0" borderId="16" xfId="0" applyFont="1" applyFill="1" applyBorder="1"/>
    <xf numFmtId="0" fontId="2" fillId="0" borderId="18" xfId="0" applyFont="1" applyFill="1" applyBorder="1"/>
    <xf numFmtId="0" fontId="6" fillId="0" borderId="32" xfId="0" applyFont="1" applyFill="1" applyBorder="1" applyAlignment="1">
      <alignment horizontal="center"/>
    </xf>
    <xf numFmtId="10" fontId="6" fillId="0" borderId="32" xfId="1" applyNumberFormat="1" applyFont="1" applyFill="1" applyBorder="1" applyAlignment="1" applyProtection="1">
      <alignment horizontal="center"/>
    </xf>
    <xf numFmtId="165" fontId="21" fillId="0" borderId="3" xfId="2" applyFont="1" applyFill="1" applyBorder="1" applyAlignment="1">
      <alignment vertical="top" wrapText="1"/>
    </xf>
    <xf numFmtId="165" fontId="4" fillId="0" borderId="3" xfId="2" applyFont="1" applyFill="1" applyBorder="1" applyAlignment="1">
      <alignment vertical="top" wrapText="1"/>
    </xf>
    <xf numFmtId="165" fontId="20" fillId="0" borderId="3" xfId="2" applyFont="1" applyFill="1" applyBorder="1" applyAlignment="1">
      <alignment vertical="top" wrapText="1"/>
    </xf>
    <xf numFmtId="165" fontId="0" fillId="0" borderId="0" xfId="2" applyFont="1" applyFill="1" applyBorder="1"/>
    <xf numFmtId="165" fontId="4" fillId="0" borderId="3" xfId="2" applyFont="1" applyFill="1" applyBorder="1" applyAlignment="1">
      <alignment horizontal="center" vertical="top" wrapText="1"/>
    </xf>
    <xf numFmtId="165" fontId="2" fillId="0" borderId="3" xfId="2" applyFont="1" applyFill="1" applyBorder="1" applyAlignment="1">
      <alignment vertical="top" wrapText="1"/>
    </xf>
    <xf numFmtId="165" fontId="2" fillId="0" borderId="3" xfId="2" applyFont="1" applyFill="1" applyBorder="1" applyAlignment="1">
      <alignment horizontal="right" vertical="top" wrapText="1"/>
    </xf>
    <xf numFmtId="39" fontId="21" fillId="0" borderId="3" xfId="0" applyNumberFormat="1" applyFont="1" applyFill="1" applyBorder="1" applyAlignment="1">
      <alignment vertical="top" wrapText="1"/>
    </xf>
    <xf numFmtId="39" fontId="4" fillId="0" borderId="3" xfId="0" applyNumberFormat="1" applyFont="1" applyFill="1" applyBorder="1" applyAlignment="1">
      <alignment vertical="top" wrapText="1"/>
    </xf>
    <xf numFmtId="39" fontId="4" fillId="0" borderId="3" xfId="0" applyNumberFormat="1" applyFont="1" applyFill="1" applyBorder="1" applyAlignment="1">
      <alignment horizontal="center" vertical="top" wrapText="1"/>
    </xf>
    <xf numFmtId="39" fontId="4" fillId="0" borderId="0" xfId="0" applyNumberFormat="1" applyFont="1" applyFill="1" applyBorder="1"/>
    <xf numFmtId="39" fontId="1" fillId="0" borderId="3" xfId="0" applyNumberFormat="1" applyFont="1" applyFill="1" applyBorder="1" applyAlignment="1">
      <alignment horizontal="center" vertical="top" wrapText="1"/>
    </xf>
    <xf numFmtId="39" fontId="5" fillId="0" borderId="3" xfId="2" applyNumberFormat="1" applyFont="1" applyFill="1" applyBorder="1" applyAlignment="1" applyProtection="1">
      <alignment horizontal="center" vertical="top" wrapText="1"/>
    </xf>
    <xf numFmtId="39" fontId="2" fillId="0" borderId="3" xfId="0" applyNumberFormat="1" applyFont="1" applyFill="1" applyBorder="1" applyAlignment="1">
      <alignment vertical="top" wrapText="1"/>
    </xf>
    <xf numFmtId="39" fontId="2" fillId="0" borderId="3" xfId="0" applyNumberFormat="1" applyFont="1" applyFill="1" applyBorder="1" applyAlignment="1">
      <alignment horizontal="right" vertical="top" wrapText="1"/>
    </xf>
    <xf numFmtId="39" fontId="0" fillId="0" borderId="0" xfId="0" applyNumberFormat="1" applyFill="1"/>
    <xf numFmtId="39" fontId="2" fillId="0" borderId="3" xfId="0" applyNumberFormat="1" applyFont="1" applyFill="1" applyBorder="1" applyAlignment="1">
      <alignment horizontal="center" vertical="top" wrapText="1"/>
    </xf>
    <xf numFmtId="39" fontId="17" fillId="0" borderId="3" xfId="0" applyNumberFormat="1" applyFont="1" applyFill="1" applyBorder="1" applyAlignment="1">
      <alignment vertical="top" wrapText="1"/>
    </xf>
    <xf numFmtId="39" fontId="6" fillId="0" borderId="3" xfId="0" applyNumberFormat="1" applyFont="1" applyFill="1" applyBorder="1" applyAlignment="1">
      <alignment vertical="top" wrapText="1"/>
    </xf>
    <xf numFmtId="39" fontId="6" fillId="0" borderId="3" xfId="0" applyNumberFormat="1" applyFont="1" applyFill="1" applyBorder="1" applyAlignment="1">
      <alignment horizontal="right" vertical="top" wrapText="1"/>
    </xf>
    <xf numFmtId="39" fontId="6" fillId="0" borderId="0" xfId="2" applyNumberFormat="1" applyFont="1" applyFill="1" applyBorder="1" applyAlignment="1" applyProtection="1">
      <alignment horizontal="center"/>
    </xf>
    <xf numFmtId="39" fontId="6" fillId="0" borderId="32" xfId="1" applyNumberFormat="1" applyFont="1" applyFill="1" applyBorder="1" applyAlignment="1" applyProtection="1">
      <alignment horizontal="center"/>
    </xf>
    <xf numFmtId="166" fontId="0" fillId="0" borderId="0" xfId="1" applyNumberFormat="1" applyFont="1" applyFill="1"/>
    <xf numFmtId="165" fontId="4" fillId="0" borderId="3" xfId="0" applyNumberFormat="1" applyFont="1" applyFill="1" applyBorder="1" applyAlignment="1">
      <alignment vertical="top" wrapText="1"/>
    </xf>
    <xf numFmtId="164" fontId="4" fillId="0" borderId="3" xfId="0" applyNumberFormat="1" applyFont="1" applyFill="1" applyBorder="1" applyAlignment="1">
      <alignment vertical="top" wrapText="1"/>
    </xf>
    <xf numFmtId="10" fontId="6" fillId="0" borderId="0" xfId="1" applyNumberFormat="1" applyFont="1" applyFill="1" applyBorder="1" applyAlignment="1" applyProtection="1">
      <alignment horizontal="center"/>
    </xf>
    <xf numFmtId="167" fontId="4" fillId="0" borderId="3" xfId="0" applyNumberFormat="1" applyFont="1" applyFill="1" applyBorder="1" applyAlignment="1">
      <alignment vertical="top" wrapText="1"/>
    </xf>
    <xf numFmtId="0" fontId="0" fillId="3" borderId="0" xfId="0" applyFill="1"/>
    <xf numFmtId="39" fontId="0" fillId="3" borderId="0" xfId="0" applyNumberFormat="1" applyFill="1"/>
    <xf numFmtId="0" fontId="22" fillId="3" borderId="0" xfId="0" applyFont="1" applyFill="1"/>
    <xf numFmtId="4" fontId="0" fillId="0" borderId="0" xfId="0" applyNumberFormat="1" applyFill="1"/>
    <xf numFmtId="164" fontId="4" fillId="0" borderId="15" xfId="0" applyNumberFormat="1" applyFont="1" applyFill="1" applyBorder="1" applyAlignment="1">
      <alignment vertical="top" wrapText="1"/>
    </xf>
    <xf numFmtId="168" fontId="0" fillId="0" borderId="0" xfId="0" applyNumberFormat="1" applyFill="1"/>
    <xf numFmtId="4" fontId="4" fillId="0" borderId="0" xfId="0" applyNumberFormat="1" applyFont="1" applyFill="1" applyBorder="1" applyAlignment="1">
      <alignment vertical="top" wrapText="1"/>
    </xf>
    <xf numFmtId="164" fontId="4" fillId="0" borderId="0" xfId="0" applyNumberFormat="1" applyFont="1" applyFill="1" applyBorder="1" applyAlignment="1">
      <alignment vertical="top" wrapText="1"/>
    </xf>
    <xf numFmtId="43" fontId="0" fillId="0" borderId="0" xfId="0" applyNumberFormat="1" applyFill="1"/>
    <xf numFmtId="0" fontId="2" fillId="0" borderId="22" xfId="0" applyFont="1" applyFill="1" applyBorder="1" applyAlignment="1">
      <alignment horizontal="center" vertical="top"/>
    </xf>
    <xf numFmtId="0" fontId="2" fillId="0" borderId="23" xfId="0" applyFont="1" applyFill="1" applyBorder="1" applyAlignment="1">
      <alignment horizontal="center" vertical="top"/>
    </xf>
    <xf numFmtId="0" fontId="19" fillId="0" borderId="24" xfId="0" applyFont="1" applyFill="1" applyBorder="1" applyAlignment="1">
      <alignment horizontal="center" vertical="center"/>
    </xf>
    <xf numFmtId="0" fontId="19" fillId="0" borderId="25" xfId="0" applyFont="1" applyFill="1" applyBorder="1" applyAlignment="1">
      <alignment horizontal="center" vertical="center"/>
    </xf>
    <xf numFmtId="0" fontId="19" fillId="0" borderId="26" xfId="0" applyFont="1" applyFill="1" applyBorder="1" applyAlignment="1">
      <alignment horizontal="center" vertical="center"/>
    </xf>
    <xf numFmtId="0" fontId="19" fillId="0" borderId="27" xfId="0" applyFont="1" applyFill="1" applyBorder="1" applyAlignment="1">
      <alignment horizontal="center" vertical="center"/>
    </xf>
    <xf numFmtId="0" fontId="19" fillId="0" borderId="28" xfId="0" applyFont="1" applyFill="1" applyBorder="1" applyAlignment="1">
      <alignment horizontal="center" vertical="center"/>
    </xf>
    <xf numFmtId="0" fontId="19" fillId="0" borderId="29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top"/>
    </xf>
  </cellXfs>
  <cellStyles count="3">
    <cellStyle name="Normal" xfId="0" builtinId="0"/>
    <cellStyle name="Porcentagem" xfId="1" builtinId="5"/>
    <cellStyle name="Vírgula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zoomScaleNormal="100" zoomScaleSheetLayoutView="100" workbookViewId="0">
      <selection activeCell="B5" sqref="B5"/>
    </sheetView>
  </sheetViews>
  <sheetFormatPr defaultColWidth="11.5703125" defaultRowHeight="12.75" x14ac:dyDescent="0.2"/>
  <cols>
    <col min="1" max="1" width="58.42578125" style="41" customWidth="1"/>
    <col min="2" max="2" width="22.28515625" style="41" customWidth="1"/>
    <col min="3" max="16384" width="11.5703125" style="2"/>
  </cols>
  <sheetData>
    <row r="1" spans="1:13" ht="13.5" thickBot="1" x14ac:dyDescent="0.25">
      <c r="A1" s="51" t="s">
        <v>0</v>
      </c>
      <c r="B1" s="187" t="s">
        <v>1</v>
      </c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</row>
    <row r="2" spans="1:13" x14ac:dyDescent="0.2">
      <c r="A2" s="52" t="s">
        <v>2</v>
      </c>
      <c r="B2" s="53" t="s">
        <v>3</v>
      </c>
      <c r="C2" s="42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5" t="s">
        <v>14</v>
      </c>
    </row>
    <row r="3" spans="1:13" x14ac:dyDescent="0.2">
      <c r="A3" s="54" t="s">
        <v>15</v>
      </c>
      <c r="B3" s="55">
        <v>24900</v>
      </c>
      <c r="C3" s="43"/>
      <c r="D3" s="7">
        <v>278156.78999999998</v>
      </c>
      <c r="E3" s="7"/>
      <c r="F3" s="7"/>
      <c r="G3" s="7"/>
      <c r="H3" s="7"/>
      <c r="I3" s="7"/>
      <c r="J3" s="7"/>
      <c r="K3" s="7"/>
      <c r="L3" s="7"/>
      <c r="M3" s="8"/>
    </row>
    <row r="4" spans="1:13" x14ac:dyDescent="0.2">
      <c r="A4" s="56" t="s">
        <v>16</v>
      </c>
      <c r="B4" s="57">
        <v>-1380.68</v>
      </c>
      <c r="C4" s="44"/>
      <c r="D4" s="10">
        <v>-6530.9</v>
      </c>
      <c r="E4" s="10"/>
      <c r="F4" s="10"/>
      <c r="G4" s="10"/>
      <c r="H4" s="10"/>
      <c r="I4" s="10"/>
      <c r="J4" s="10"/>
      <c r="K4" s="10"/>
      <c r="L4" s="10"/>
      <c r="M4" s="11"/>
    </row>
    <row r="5" spans="1:13" x14ac:dyDescent="0.2">
      <c r="A5" s="54" t="s">
        <v>17</v>
      </c>
      <c r="B5" s="55">
        <f t="shared" ref="B5:M5" si="0">B3+B4</f>
        <v>23519.32</v>
      </c>
      <c r="C5" s="43">
        <f t="shared" si="0"/>
        <v>0</v>
      </c>
      <c r="D5" s="7">
        <f t="shared" si="0"/>
        <v>271625.88999999996</v>
      </c>
      <c r="E5" s="7">
        <f t="shared" si="0"/>
        <v>0</v>
      </c>
      <c r="F5" s="7">
        <f t="shared" si="0"/>
        <v>0</v>
      </c>
      <c r="G5" s="7">
        <f t="shared" si="0"/>
        <v>0</v>
      </c>
      <c r="H5" s="7">
        <f t="shared" si="0"/>
        <v>0</v>
      </c>
      <c r="I5" s="7">
        <f t="shared" si="0"/>
        <v>0</v>
      </c>
      <c r="J5" s="7">
        <f t="shared" si="0"/>
        <v>0</v>
      </c>
      <c r="K5" s="7">
        <f t="shared" si="0"/>
        <v>0</v>
      </c>
      <c r="L5" s="7">
        <f t="shared" si="0"/>
        <v>0</v>
      </c>
      <c r="M5" s="8">
        <f t="shared" si="0"/>
        <v>0</v>
      </c>
    </row>
    <row r="6" spans="1:13" x14ac:dyDescent="0.2">
      <c r="A6" s="56" t="s">
        <v>18</v>
      </c>
      <c r="B6" s="57">
        <v>-10711</v>
      </c>
      <c r="C6" s="44"/>
      <c r="D6" s="10">
        <v>-22896.23</v>
      </c>
      <c r="E6" s="10"/>
      <c r="F6" s="10"/>
      <c r="G6" s="10"/>
      <c r="H6" s="10"/>
      <c r="I6" s="10"/>
      <c r="J6" s="10"/>
      <c r="K6" s="10"/>
      <c r="L6" s="10"/>
      <c r="M6" s="11"/>
    </row>
    <row r="7" spans="1:13" x14ac:dyDescent="0.2">
      <c r="A7" s="54" t="s">
        <v>19</v>
      </c>
      <c r="B7" s="55">
        <f t="shared" ref="B7:M7" si="1">B5+B6</f>
        <v>12808.32</v>
      </c>
      <c r="C7" s="43">
        <f t="shared" si="1"/>
        <v>0</v>
      </c>
      <c r="D7" s="7">
        <f t="shared" si="1"/>
        <v>248729.65999999995</v>
      </c>
      <c r="E7" s="7">
        <f t="shared" si="1"/>
        <v>0</v>
      </c>
      <c r="F7" s="7">
        <f t="shared" si="1"/>
        <v>0</v>
      </c>
      <c r="G7" s="7">
        <f t="shared" si="1"/>
        <v>0</v>
      </c>
      <c r="H7" s="7">
        <f t="shared" si="1"/>
        <v>0</v>
      </c>
      <c r="I7" s="7">
        <f t="shared" si="1"/>
        <v>0</v>
      </c>
      <c r="J7" s="7">
        <f t="shared" si="1"/>
        <v>0</v>
      </c>
      <c r="K7" s="7">
        <f t="shared" si="1"/>
        <v>0</v>
      </c>
      <c r="L7" s="7">
        <f t="shared" si="1"/>
        <v>0</v>
      </c>
      <c r="M7" s="8">
        <f t="shared" si="1"/>
        <v>0</v>
      </c>
    </row>
    <row r="8" spans="1:13" x14ac:dyDescent="0.2">
      <c r="A8" s="56" t="s">
        <v>20</v>
      </c>
      <c r="B8" s="57">
        <v>-2705</v>
      </c>
      <c r="C8" s="44">
        <f t="shared" ref="C8:M8" si="2">SUM(C9:C12)</f>
        <v>0</v>
      </c>
      <c r="D8" s="10">
        <v>-42673.88</v>
      </c>
      <c r="E8" s="10">
        <f t="shared" si="2"/>
        <v>0</v>
      </c>
      <c r="F8" s="10">
        <f t="shared" si="2"/>
        <v>0</v>
      </c>
      <c r="G8" s="10">
        <f t="shared" si="2"/>
        <v>0</v>
      </c>
      <c r="H8" s="10">
        <f t="shared" si="2"/>
        <v>0</v>
      </c>
      <c r="I8" s="10">
        <f t="shared" si="2"/>
        <v>0</v>
      </c>
      <c r="J8" s="10">
        <f t="shared" si="2"/>
        <v>0</v>
      </c>
      <c r="K8" s="10">
        <f t="shared" si="2"/>
        <v>0</v>
      </c>
      <c r="L8" s="10">
        <f t="shared" si="2"/>
        <v>0</v>
      </c>
      <c r="M8" s="11">
        <f t="shared" si="2"/>
        <v>0</v>
      </c>
    </row>
    <row r="9" spans="1:13" x14ac:dyDescent="0.2">
      <c r="A9" s="56" t="s">
        <v>21</v>
      </c>
      <c r="B9" s="57">
        <v>0</v>
      </c>
      <c r="C9" s="44"/>
      <c r="D9" s="10">
        <v>0</v>
      </c>
      <c r="E9" s="10"/>
      <c r="F9" s="10"/>
      <c r="G9" s="10"/>
      <c r="H9" s="10"/>
      <c r="I9" s="10"/>
      <c r="J9" s="10"/>
      <c r="K9" s="10"/>
      <c r="L9" s="10"/>
      <c r="M9" s="11"/>
    </row>
    <row r="10" spans="1:13" x14ac:dyDescent="0.2">
      <c r="A10" s="56" t="s">
        <v>22</v>
      </c>
      <c r="B10" s="57">
        <v>-10050</v>
      </c>
      <c r="C10" s="44"/>
      <c r="D10" s="10">
        <v>-34729.120000000003</v>
      </c>
      <c r="E10" s="10"/>
      <c r="F10" s="10"/>
      <c r="G10" s="10"/>
      <c r="H10" s="10"/>
      <c r="I10" s="10"/>
      <c r="J10" s="10"/>
      <c r="K10" s="10"/>
      <c r="L10" s="10"/>
      <c r="M10" s="11"/>
    </row>
    <row r="11" spans="1:13" x14ac:dyDescent="0.2">
      <c r="A11" s="56" t="s">
        <v>23</v>
      </c>
      <c r="B11" s="57">
        <f>-249-3537</f>
        <v>-3786</v>
      </c>
      <c r="C11" s="44"/>
      <c r="D11" s="10">
        <v>-55.73</v>
      </c>
      <c r="E11" s="10"/>
      <c r="F11" s="10"/>
      <c r="G11" s="10"/>
      <c r="H11" s="10"/>
      <c r="I11" s="10"/>
      <c r="J11" s="10"/>
      <c r="K11" s="10"/>
      <c r="L11" s="10"/>
      <c r="M11" s="11"/>
    </row>
    <row r="12" spans="1:13" x14ac:dyDescent="0.2">
      <c r="A12" s="56" t="s">
        <v>24</v>
      </c>
      <c r="B12" s="58" t="s">
        <v>25</v>
      </c>
      <c r="C12" s="45"/>
      <c r="D12" s="12"/>
      <c r="E12" s="12"/>
      <c r="F12" s="12"/>
      <c r="G12" s="12"/>
      <c r="H12" s="12"/>
      <c r="I12" s="12"/>
      <c r="J12" s="12"/>
      <c r="K12" s="12"/>
      <c r="L12" s="12"/>
      <c r="M12" s="13"/>
    </row>
    <row r="13" spans="1:13" x14ac:dyDescent="0.2">
      <c r="A13" s="59" t="s">
        <v>26</v>
      </c>
      <c r="B13" s="60">
        <f t="shared" ref="B13:M13" si="3">B7+B8</f>
        <v>10103.32</v>
      </c>
      <c r="C13" s="46">
        <f t="shared" si="3"/>
        <v>0</v>
      </c>
      <c r="D13" s="14">
        <f t="shared" si="3"/>
        <v>206055.77999999994</v>
      </c>
      <c r="E13" s="14">
        <f t="shared" si="3"/>
        <v>0</v>
      </c>
      <c r="F13" s="14">
        <f t="shared" si="3"/>
        <v>0</v>
      </c>
      <c r="G13" s="14">
        <f t="shared" si="3"/>
        <v>0</v>
      </c>
      <c r="H13" s="14">
        <f t="shared" si="3"/>
        <v>0</v>
      </c>
      <c r="I13" s="14">
        <f t="shared" si="3"/>
        <v>0</v>
      </c>
      <c r="J13" s="14">
        <f t="shared" si="3"/>
        <v>0</v>
      </c>
      <c r="K13" s="14">
        <f t="shared" si="3"/>
        <v>0</v>
      </c>
      <c r="L13" s="14">
        <f t="shared" si="3"/>
        <v>0</v>
      </c>
      <c r="M13" s="15">
        <f t="shared" si="3"/>
        <v>0</v>
      </c>
    </row>
    <row r="14" spans="1:13" x14ac:dyDescent="0.2">
      <c r="A14" s="56" t="s">
        <v>27</v>
      </c>
      <c r="B14" s="57">
        <v>-19660</v>
      </c>
      <c r="C14" s="44"/>
      <c r="D14" s="10">
        <v>-39252.410000000003</v>
      </c>
      <c r="E14" s="10"/>
      <c r="F14" s="10"/>
      <c r="G14" s="10"/>
      <c r="H14" s="10"/>
      <c r="I14" s="10"/>
      <c r="J14" s="10"/>
      <c r="K14" s="10"/>
      <c r="L14" s="10"/>
      <c r="M14" s="11"/>
    </row>
    <row r="15" spans="1:13" x14ac:dyDescent="0.2">
      <c r="A15" s="54" t="s">
        <v>28</v>
      </c>
      <c r="B15" s="55">
        <f t="shared" ref="B15:M15" si="4">B13+B14</f>
        <v>-9556.68</v>
      </c>
      <c r="C15" s="43">
        <f t="shared" si="4"/>
        <v>0</v>
      </c>
      <c r="D15" s="7">
        <f t="shared" si="4"/>
        <v>166803.36999999994</v>
      </c>
      <c r="E15" s="7">
        <f t="shared" si="4"/>
        <v>0</v>
      </c>
      <c r="F15" s="7">
        <f t="shared" si="4"/>
        <v>0</v>
      </c>
      <c r="G15" s="7">
        <f t="shared" si="4"/>
        <v>0</v>
      </c>
      <c r="H15" s="7">
        <f t="shared" si="4"/>
        <v>0</v>
      </c>
      <c r="I15" s="7">
        <f t="shared" si="4"/>
        <v>0</v>
      </c>
      <c r="J15" s="7">
        <f t="shared" si="4"/>
        <v>0</v>
      </c>
      <c r="K15" s="7">
        <f t="shared" si="4"/>
        <v>0</v>
      </c>
      <c r="L15" s="7">
        <f t="shared" si="4"/>
        <v>0</v>
      </c>
      <c r="M15" s="8">
        <f t="shared" si="4"/>
        <v>0</v>
      </c>
    </row>
    <row r="16" spans="1:13" x14ac:dyDescent="0.2">
      <c r="A16" s="56" t="s">
        <v>29</v>
      </c>
      <c r="B16" s="57">
        <v>-1232</v>
      </c>
      <c r="C16" s="44"/>
      <c r="D16" s="10">
        <v>-4759.9799999999996</v>
      </c>
      <c r="E16" s="10"/>
      <c r="F16" s="10"/>
      <c r="G16" s="10"/>
      <c r="H16" s="10"/>
      <c r="I16" s="10"/>
      <c r="J16" s="10"/>
      <c r="K16" s="10"/>
      <c r="L16" s="10"/>
      <c r="M16" s="11"/>
    </row>
    <row r="17" spans="1:13" x14ac:dyDescent="0.2">
      <c r="A17" s="54" t="s">
        <v>30</v>
      </c>
      <c r="B17" s="55">
        <f t="shared" ref="B17:M17" si="5">B15+B16</f>
        <v>-10788.68</v>
      </c>
      <c r="C17" s="43">
        <f t="shared" si="5"/>
        <v>0</v>
      </c>
      <c r="D17" s="7">
        <f t="shared" si="5"/>
        <v>162043.38999999993</v>
      </c>
      <c r="E17" s="7">
        <f t="shared" si="5"/>
        <v>0</v>
      </c>
      <c r="F17" s="7">
        <f t="shared" si="5"/>
        <v>0</v>
      </c>
      <c r="G17" s="7">
        <f t="shared" si="5"/>
        <v>0</v>
      </c>
      <c r="H17" s="7">
        <f t="shared" si="5"/>
        <v>0</v>
      </c>
      <c r="I17" s="7">
        <f t="shared" si="5"/>
        <v>0</v>
      </c>
      <c r="J17" s="7">
        <f t="shared" si="5"/>
        <v>0</v>
      </c>
      <c r="K17" s="7">
        <f t="shared" si="5"/>
        <v>0</v>
      </c>
      <c r="L17" s="7">
        <f t="shared" si="5"/>
        <v>0</v>
      </c>
      <c r="M17" s="8">
        <f t="shared" si="5"/>
        <v>0</v>
      </c>
    </row>
    <row r="18" spans="1:13" x14ac:dyDescent="0.2">
      <c r="A18" s="61"/>
      <c r="B18" s="62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8"/>
    </row>
    <row r="19" spans="1:13" x14ac:dyDescent="0.2">
      <c r="A19" s="63" t="s">
        <v>31</v>
      </c>
      <c r="B19" s="64" t="s">
        <v>32</v>
      </c>
      <c r="C19" s="47" t="s">
        <v>32</v>
      </c>
      <c r="D19" s="20" t="s">
        <v>32</v>
      </c>
      <c r="E19" s="20" t="s">
        <v>32</v>
      </c>
      <c r="F19" s="20" t="s">
        <v>32</v>
      </c>
      <c r="G19" s="20" t="s">
        <v>32</v>
      </c>
      <c r="H19" s="20" t="s">
        <v>32</v>
      </c>
      <c r="I19" s="20" t="s">
        <v>32</v>
      </c>
      <c r="J19" s="20" t="s">
        <v>32</v>
      </c>
      <c r="K19" s="20" t="s">
        <v>32</v>
      </c>
      <c r="L19" s="20" t="s">
        <v>32</v>
      </c>
      <c r="M19" s="21" t="s">
        <v>32</v>
      </c>
    </row>
    <row r="20" spans="1:13" x14ac:dyDescent="0.2">
      <c r="A20" s="65" t="str">
        <f>A2</f>
        <v>Empresa:</v>
      </c>
      <c r="B20" s="66"/>
      <c r="C20" s="48"/>
      <c r="D20" s="23"/>
      <c r="E20" s="23"/>
      <c r="F20" s="23"/>
      <c r="G20" s="23"/>
      <c r="H20" s="23"/>
      <c r="I20" s="23"/>
      <c r="J20" s="23"/>
      <c r="K20" s="23"/>
      <c r="L20" s="23"/>
      <c r="M20" s="24"/>
    </row>
    <row r="21" spans="1:13" x14ac:dyDescent="0.2">
      <c r="A21" s="67" t="s">
        <v>15</v>
      </c>
      <c r="B21" s="68">
        <f t="shared" ref="B21:M21" si="6">B3</f>
        <v>24900</v>
      </c>
      <c r="C21" s="49">
        <f t="shared" si="6"/>
        <v>0</v>
      </c>
      <c r="D21" s="26">
        <f t="shared" si="6"/>
        <v>278156.78999999998</v>
      </c>
      <c r="E21" s="26">
        <f t="shared" si="6"/>
        <v>0</v>
      </c>
      <c r="F21" s="26">
        <f t="shared" si="6"/>
        <v>0</v>
      </c>
      <c r="G21" s="26">
        <f t="shared" si="6"/>
        <v>0</v>
      </c>
      <c r="H21" s="26">
        <f t="shared" si="6"/>
        <v>0</v>
      </c>
      <c r="I21" s="26">
        <f t="shared" si="6"/>
        <v>0</v>
      </c>
      <c r="J21" s="26">
        <f t="shared" si="6"/>
        <v>0</v>
      </c>
      <c r="K21" s="26">
        <f t="shared" si="6"/>
        <v>0</v>
      </c>
      <c r="L21" s="26">
        <f t="shared" si="6"/>
        <v>0</v>
      </c>
      <c r="M21" s="27">
        <f t="shared" si="6"/>
        <v>0</v>
      </c>
    </row>
    <row r="22" spans="1:13" x14ac:dyDescent="0.2">
      <c r="A22" s="56" t="s">
        <v>16</v>
      </c>
      <c r="B22" s="57">
        <f t="shared" ref="B22:M22" si="7">B4</f>
        <v>-1380.68</v>
      </c>
      <c r="C22" s="44">
        <f t="shared" si="7"/>
        <v>0</v>
      </c>
      <c r="D22" s="10">
        <f t="shared" si="7"/>
        <v>-6530.9</v>
      </c>
      <c r="E22" s="10">
        <f t="shared" si="7"/>
        <v>0</v>
      </c>
      <c r="F22" s="10">
        <f t="shared" si="7"/>
        <v>0</v>
      </c>
      <c r="G22" s="10">
        <f t="shared" si="7"/>
        <v>0</v>
      </c>
      <c r="H22" s="10">
        <f t="shared" si="7"/>
        <v>0</v>
      </c>
      <c r="I22" s="10">
        <f t="shared" si="7"/>
        <v>0</v>
      </c>
      <c r="J22" s="10">
        <f t="shared" si="7"/>
        <v>0</v>
      </c>
      <c r="K22" s="10">
        <f t="shared" si="7"/>
        <v>0</v>
      </c>
      <c r="L22" s="10">
        <f t="shared" si="7"/>
        <v>0</v>
      </c>
      <c r="M22" s="11">
        <f t="shared" si="7"/>
        <v>0</v>
      </c>
    </row>
    <row r="23" spans="1:13" x14ac:dyDescent="0.2">
      <c r="A23" s="67" t="s">
        <v>17</v>
      </c>
      <c r="B23" s="68">
        <f t="shared" ref="B23:M23" si="8">B21+B22</f>
        <v>23519.32</v>
      </c>
      <c r="C23" s="49">
        <f t="shared" si="8"/>
        <v>0</v>
      </c>
      <c r="D23" s="26">
        <f t="shared" si="8"/>
        <v>271625.88999999996</v>
      </c>
      <c r="E23" s="26">
        <f t="shared" si="8"/>
        <v>0</v>
      </c>
      <c r="F23" s="26">
        <f t="shared" si="8"/>
        <v>0</v>
      </c>
      <c r="G23" s="26">
        <f t="shared" si="8"/>
        <v>0</v>
      </c>
      <c r="H23" s="26">
        <f t="shared" si="8"/>
        <v>0</v>
      </c>
      <c r="I23" s="26">
        <f t="shared" si="8"/>
        <v>0</v>
      </c>
      <c r="J23" s="26">
        <f t="shared" si="8"/>
        <v>0</v>
      </c>
      <c r="K23" s="26">
        <f t="shared" si="8"/>
        <v>0</v>
      </c>
      <c r="L23" s="26">
        <f t="shared" si="8"/>
        <v>0</v>
      </c>
      <c r="M23" s="27">
        <f t="shared" si="8"/>
        <v>0</v>
      </c>
    </row>
    <row r="24" spans="1:13" x14ac:dyDescent="0.2">
      <c r="A24" s="56" t="s">
        <v>33</v>
      </c>
      <c r="B24" s="57">
        <f t="shared" ref="B24:M24" si="9">B6</f>
        <v>-10711</v>
      </c>
      <c r="C24" s="44">
        <f t="shared" si="9"/>
        <v>0</v>
      </c>
      <c r="D24" s="10">
        <f t="shared" si="9"/>
        <v>-22896.23</v>
      </c>
      <c r="E24" s="10">
        <f t="shared" si="9"/>
        <v>0</v>
      </c>
      <c r="F24" s="10">
        <f t="shared" si="9"/>
        <v>0</v>
      </c>
      <c r="G24" s="10">
        <f t="shared" si="9"/>
        <v>0</v>
      </c>
      <c r="H24" s="10">
        <f t="shared" si="9"/>
        <v>0</v>
      </c>
      <c r="I24" s="10">
        <f t="shared" si="9"/>
        <v>0</v>
      </c>
      <c r="J24" s="10">
        <f t="shared" si="9"/>
        <v>0</v>
      </c>
      <c r="K24" s="10">
        <f t="shared" si="9"/>
        <v>0</v>
      </c>
      <c r="L24" s="10">
        <f t="shared" si="9"/>
        <v>0</v>
      </c>
      <c r="M24" s="11">
        <f t="shared" si="9"/>
        <v>0</v>
      </c>
    </row>
    <row r="25" spans="1:13" x14ac:dyDescent="0.2">
      <c r="A25" s="67" t="s">
        <v>19</v>
      </c>
      <c r="B25" s="68">
        <f t="shared" ref="B25:M25" si="10">B23+B24</f>
        <v>12808.32</v>
      </c>
      <c r="C25" s="49">
        <f t="shared" si="10"/>
        <v>0</v>
      </c>
      <c r="D25" s="26">
        <f t="shared" si="10"/>
        <v>248729.65999999995</v>
      </c>
      <c r="E25" s="26">
        <f t="shared" si="10"/>
        <v>0</v>
      </c>
      <c r="F25" s="26">
        <f t="shared" si="10"/>
        <v>0</v>
      </c>
      <c r="G25" s="26">
        <f t="shared" si="10"/>
        <v>0</v>
      </c>
      <c r="H25" s="26">
        <f t="shared" si="10"/>
        <v>0</v>
      </c>
      <c r="I25" s="26">
        <f t="shared" si="10"/>
        <v>0</v>
      </c>
      <c r="J25" s="26">
        <f t="shared" si="10"/>
        <v>0</v>
      </c>
      <c r="K25" s="26">
        <f t="shared" si="10"/>
        <v>0</v>
      </c>
      <c r="L25" s="26">
        <f t="shared" si="10"/>
        <v>0</v>
      </c>
      <c r="M25" s="27">
        <f t="shared" si="10"/>
        <v>0</v>
      </c>
    </row>
    <row r="26" spans="1:13" x14ac:dyDescent="0.2">
      <c r="A26" s="56" t="s">
        <v>20</v>
      </c>
      <c r="B26" s="57">
        <f t="shared" ref="B26:M26" si="11">SUM(B27:B28)</f>
        <v>-10050</v>
      </c>
      <c r="C26" s="44">
        <f t="shared" si="11"/>
        <v>0</v>
      </c>
      <c r="D26" s="10">
        <f t="shared" si="11"/>
        <v>-34729.120000000003</v>
      </c>
      <c r="E26" s="10">
        <f t="shared" si="11"/>
        <v>0</v>
      </c>
      <c r="F26" s="10">
        <f t="shared" si="11"/>
        <v>0</v>
      </c>
      <c r="G26" s="10">
        <f t="shared" si="11"/>
        <v>0</v>
      </c>
      <c r="H26" s="10">
        <f t="shared" si="11"/>
        <v>0</v>
      </c>
      <c r="I26" s="10">
        <f t="shared" si="11"/>
        <v>0</v>
      </c>
      <c r="J26" s="10">
        <f t="shared" si="11"/>
        <v>0</v>
      </c>
      <c r="K26" s="10">
        <f t="shared" si="11"/>
        <v>0</v>
      </c>
      <c r="L26" s="10">
        <f t="shared" si="11"/>
        <v>0</v>
      </c>
      <c r="M26" s="11">
        <f t="shared" si="11"/>
        <v>0</v>
      </c>
    </row>
    <row r="27" spans="1:13" x14ac:dyDescent="0.2">
      <c r="A27" s="56" t="s">
        <v>21</v>
      </c>
      <c r="B27" s="57">
        <f t="shared" ref="B27:M27" si="12">B9</f>
        <v>0</v>
      </c>
      <c r="C27" s="44">
        <f t="shared" si="12"/>
        <v>0</v>
      </c>
      <c r="D27" s="10">
        <f t="shared" si="12"/>
        <v>0</v>
      </c>
      <c r="E27" s="10">
        <f t="shared" si="12"/>
        <v>0</v>
      </c>
      <c r="F27" s="10">
        <f t="shared" si="12"/>
        <v>0</v>
      </c>
      <c r="G27" s="10">
        <f t="shared" si="12"/>
        <v>0</v>
      </c>
      <c r="H27" s="10">
        <f t="shared" si="12"/>
        <v>0</v>
      </c>
      <c r="I27" s="10">
        <f t="shared" si="12"/>
        <v>0</v>
      </c>
      <c r="J27" s="10">
        <f t="shared" si="12"/>
        <v>0</v>
      </c>
      <c r="K27" s="10">
        <f t="shared" si="12"/>
        <v>0</v>
      </c>
      <c r="L27" s="10">
        <f t="shared" si="12"/>
        <v>0</v>
      </c>
      <c r="M27" s="11">
        <f t="shared" si="12"/>
        <v>0</v>
      </c>
    </row>
    <row r="28" spans="1:13" x14ac:dyDescent="0.2">
      <c r="A28" s="56" t="s">
        <v>22</v>
      </c>
      <c r="B28" s="57">
        <f t="shared" ref="B28:M28" si="13">B10</f>
        <v>-10050</v>
      </c>
      <c r="C28" s="44">
        <f t="shared" si="13"/>
        <v>0</v>
      </c>
      <c r="D28" s="10">
        <f t="shared" si="13"/>
        <v>-34729.120000000003</v>
      </c>
      <c r="E28" s="10">
        <f t="shared" si="13"/>
        <v>0</v>
      </c>
      <c r="F28" s="10">
        <f t="shared" si="13"/>
        <v>0</v>
      </c>
      <c r="G28" s="10">
        <f t="shared" si="13"/>
        <v>0</v>
      </c>
      <c r="H28" s="10">
        <f t="shared" si="13"/>
        <v>0</v>
      </c>
      <c r="I28" s="10">
        <f t="shared" si="13"/>
        <v>0</v>
      </c>
      <c r="J28" s="10">
        <f t="shared" si="13"/>
        <v>0</v>
      </c>
      <c r="K28" s="10">
        <f t="shared" si="13"/>
        <v>0</v>
      </c>
      <c r="L28" s="10">
        <f t="shared" si="13"/>
        <v>0</v>
      </c>
      <c r="M28" s="11">
        <f t="shared" si="13"/>
        <v>0</v>
      </c>
    </row>
    <row r="29" spans="1:13" x14ac:dyDescent="0.2">
      <c r="A29" s="69" t="s">
        <v>34</v>
      </c>
      <c r="B29" s="70">
        <f t="shared" ref="B29:M29" si="14">B25+B26</f>
        <v>2758.3199999999997</v>
      </c>
      <c r="C29" s="50">
        <f t="shared" si="14"/>
        <v>0</v>
      </c>
      <c r="D29" s="29">
        <f t="shared" si="14"/>
        <v>214000.53999999995</v>
      </c>
      <c r="E29" s="29">
        <f t="shared" si="14"/>
        <v>0</v>
      </c>
      <c r="F29" s="29">
        <f t="shared" si="14"/>
        <v>0</v>
      </c>
      <c r="G29" s="29">
        <f t="shared" si="14"/>
        <v>0</v>
      </c>
      <c r="H29" s="29">
        <f t="shared" si="14"/>
        <v>0</v>
      </c>
      <c r="I29" s="29">
        <f t="shared" si="14"/>
        <v>0</v>
      </c>
      <c r="J29" s="29">
        <f t="shared" si="14"/>
        <v>0</v>
      </c>
      <c r="K29" s="29">
        <f t="shared" si="14"/>
        <v>0</v>
      </c>
      <c r="L29" s="29">
        <f t="shared" si="14"/>
        <v>0</v>
      </c>
      <c r="M29" s="30">
        <f t="shared" si="14"/>
        <v>0</v>
      </c>
    </row>
    <row r="30" spans="1:13" x14ac:dyDescent="0.2">
      <c r="A30" s="56" t="s">
        <v>35</v>
      </c>
      <c r="B30" s="57">
        <v>231</v>
      </c>
      <c r="C30" s="44"/>
      <c r="D30" s="10"/>
      <c r="E30" s="10"/>
      <c r="F30" s="10"/>
      <c r="G30" s="10"/>
      <c r="H30" s="10"/>
      <c r="I30" s="10"/>
      <c r="J30" s="10"/>
      <c r="K30" s="10"/>
      <c r="L30" s="10"/>
      <c r="M30" s="11"/>
    </row>
    <row r="31" spans="1:13" x14ac:dyDescent="0.2">
      <c r="A31" s="69" t="s">
        <v>36</v>
      </c>
      <c r="B31" s="70">
        <f t="shared" ref="B31:M31" si="15">B29+B30</f>
        <v>2989.3199999999997</v>
      </c>
      <c r="C31" s="50">
        <f t="shared" si="15"/>
        <v>0</v>
      </c>
      <c r="D31" s="29">
        <f t="shared" si="15"/>
        <v>214000.53999999995</v>
      </c>
      <c r="E31" s="29">
        <f t="shared" si="15"/>
        <v>0</v>
      </c>
      <c r="F31" s="29">
        <f t="shared" si="15"/>
        <v>0</v>
      </c>
      <c r="G31" s="29">
        <f t="shared" si="15"/>
        <v>0</v>
      </c>
      <c r="H31" s="29">
        <f t="shared" si="15"/>
        <v>0</v>
      </c>
      <c r="I31" s="29">
        <f t="shared" si="15"/>
        <v>0</v>
      </c>
      <c r="J31" s="29">
        <f t="shared" si="15"/>
        <v>0</v>
      </c>
      <c r="K31" s="29">
        <f t="shared" si="15"/>
        <v>0</v>
      </c>
      <c r="L31" s="29">
        <f t="shared" si="15"/>
        <v>0</v>
      </c>
      <c r="M31" s="30">
        <f t="shared" si="15"/>
        <v>0</v>
      </c>
    </row>
    <row r="32" spans="1:13" x14ac:dyDescent="0.2">
      <c r="A32" s="71" t="s">
        <v>37</v>
      </c>
      <c r="B32" s="72" t="s">
        <v>38</v>
      </c>
      <c r="C32" s="33">
        <f t="shared" ref="C32:M32" si="16">C31/B31-1</f>
        <v>-1</v>
      </c>
      <c r="D32" s="33" t="e">
        <f t="shared" si="16"/>
        <v>#DIV/0!</v>
      </c>
      <c r="E32" s="33">
        <f t="shared" si="16"/>
        <v>-1</v>
      </c>
      <c r="F32" s="33" t="e">
        <f t="shared" si="16"/>
        <v>#DIV/0!</v>
      </c>
      <c r="G32" s="33" t="e">
        <f t="shared" si="16"/>
        <v>#DIV/0!</v>
      </c>
      <c r="H32" s="33" t="e">
        <f t="shared" si="16"/>
        <v>#DIV/0!</v>
      </c>
      <c r="I32" s="33" t="e">
        <f t="shared" si="16"/>
        <v>#DIV/0!</v>
      </c>
      <c r="J32" s="33" t="e">
        <f t="shared" si="16"/>
        <v>#DIV/0!</v>
      </c>
      <c r="K32" s="33" t="e">
        <f t="shared" si="16"/>
        <v>#DIV/0!</v>
      </c>
      <c r="L32" s="33" t="e">
        <f t="shared" si="16"/>
        <v>#DIV/0!</v>
      </c>
      <c r="M32" s="34" t="e">
        <f t="shared" si="16"/>
        <v>#DIV/0!</v>
      </c>
    </row>
    <row r="33" spans="1:13" x14ac:dyDescent="0.2">
      <c r="A33" s="71" t="s">
        <v>39</v>
      </c>
      <c r="B33" s="72"/>
      <c r="C33" s="35">
        <f>1*(C32/100+1)</f>
        <v>0.99</v>
      </c>
      <c r="D33" s="35" t="e">
        <f t="shared" ref="D33:M33" si="17">C33*(D32/100+1)</f>
        <v>#DIV/0!</v>
      </c>
      <c r="E33" s="35" t="e">
        <f t="shared" si="17"/>
        <v>#DIV/0!</v>
      </c>
      <c r="F33" s="35" t="e">
        <f t="shared" si="17"/>
        <v>#DIV/0!</v>
      </c>
      <c r="G33" s="35" t="e">
        <f t="shared" si="17"/>
        <v>#DIV/0!</v>
      </c>
      <c r="H33" s="35" t="e">
        <f t="shared" si="17"/>
        <v>#DIV/0!</v>
      </c>
      <c r="I33" s="35" t="e">
        <f t="shared" si="17"/>
        <v>#DIV/0!</v>
      </c>
      <c r="J33" s="35" t="e">
        <f t="shared" si="17"/>
        <v>#DIV/0!</v>
      </c>
      <c r="K33" s="35" t="e">
        <f t="shared" si="17"/>
        <v>#DIV/0!</v>
      </c>
      <c r="L33" s="35" t="e">
        <f t="shared" si="17"/>
        <v>#DIV/0!</v>
      </c>
      <c r="M33" s="36" t="e">
        <f t="shared" si="17"/>
        <v>#DIV/0!</v>
      </c>
    </row>
    <row r="34" spans="1:13" ht="13.5" thickBot="1" x14ac:dyDescent="0.25">
      <c r="A34" s="73" t="s">
        <v>39</v>
      </c>
      <c r="B34" s="74" t="s">
        <v>38</v>
      </c>
      <c r="C34" s="39">
        <f t="shared" ref="C34:M34" si="18">C33-1</f>
        <v>-1.0000000000000009E-2</v>
      </c>
      <c r="D34" s="39" t="e">
        <f t="shared" si="18"/>
        <v>#DIV/0!</v>
      </c>
      <c r="E34" s="39" t="e">
        <f t="shared" si="18"/>
        <v>#DIV/0!</v>
      </c>
      <c r="F34" s="39" t="e">
        <f t="shared" si="18"/>
        <v>#DIV/0!</v>
      </c>
      <c r="G34" s="39" t="e">
        <f t="shared" si="18"/>
        <v>#DIV/0!</v>
      </c>
      <c r="H34" s="39" t="e">
        <f t="shared" si="18"/>
        <v>#DIV/0!</v>
      </c>
      <c r="I34" s="39" t="e">
        <f t="shared" si="18"/>
        <v>#DIV/0!</v>
      </c>
      <c r="J34" s="39" t="e">
        <f t="shared" si="18"/>
        <v>#DIV/0!</v>
      </c>
      <c r="K34" s="39" t="e">
        <f t="shared" si="18"/>
        <v>#DIV/0!</v>
      </c>
      <c r="L34" s="39" t="e">
        <f t="shared" si="18"/>
        <v>#DIV/0!</v>
      </c>
      <c r="M34" s="40" t="e">
        <f t="shared" si="18"/>
        <v>#DIV/0!</v>
      </c>
    </row>
  </sheetData>
  <mergeCells count="1">
    <mergeCell ref="B1:M1"/>
  </mergeCells>
  <phoneticPr fontId="0" type="noConversion"/>
  <pageMargins left="0.08" right="0.09" top="0.14000000000000001" bottom="0.28999999999999998" header="0.08" footer="0.04"/>
  <pageSetup paperSize="9" orientation="portrait" useFirstPageNumber="1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N36"/>
  <sheetViews>
    <sheetView topLeftCell="A10" zoomScaleNormal="100" zoomScaleSheetLayoutView="100" workbookViewId="0">
      <selection activeCell="B1" sqref="B1:N1"/>
    </sheetView>
  </sheetViews>
  <sheetFormatPr defaultColWidth="11.5703125" defaultRowHeight="12.75" x14ac:dyDescent="0.2"/>
  <cols>
    <col min="1" max="1" width="3" style="2" customWidth="1"/>
    <col min="2" max="2" width="18.42578125" style="2" bestFit="1" customWidth="1"/>
    <col min="3" max="4" width="9" style="2" bestFit="1" customWidth="1"/>
    <col min="5" max="7" width="9.28515625" style="2" bestFit="1" customWidth="1"/>
    <col min="8" max="8" width="9" style="2" bestFit="1" customWidth="1"/>
    <col min="9" max="9" width="9.28515625" style="2" bestFit="1" customWidth="1"/>
    <col min="10" max="11" width="9" style="2" bestFit="1" customWidth="1"/>
    <col min="12" max="12" width="9.28515625" style="2" bestFit="1" customWidth="1"/>
    <col min="13" max="13" width="9.5703125" style="2" bestFit="1" customWidth="1"/>
    <col min="14" max="14" width="10.85546875" style="2" customWidth="1"/>
    <col min="15" max="16384" width="11.5703125" style="2"/>
  </cols>
  <sheetData>
    <row r="1" spans="2:14" ht="25.5" customHeight="1" thickBot="1" x14ac:dyDescent="0.25">
      <c r="B1" s="189" t="s">
        <v>41</v>
      </c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1"/>
    </row>
    <row r="2" spans="2:14" x14ac:dyDescent="0.2">
      <c r="B2" s="1" t="s">
        <v>0</v>
      </c>
      <c r="C2" s="188" t="s">
        <v>1</v>
      </c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</row>
    <row r="3" spans="2:14" x14ac:dyDescent="0.2">
      <c r="B3" s="3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5" t="s">
        <v>14</v>
      </c>
    </row>
    <row r="4" spans="2:14" ht="22.5" x14ac:dyDescent="0.2">
      <c r="B4" s="6" t="s">
        <v>15</v>
      </c>
      <c r="C4" s="7">
        <v>24900</v>
      </c>
      <c r="D4" s="7">
        <v>53005.4</v>
      </c>
      <c r="E4" s="7">
        <v>199814.28</v>
      </c>
      <c r="F4" s="7">
        <v>131665.82999999999</v>
      </c>
      <c r="G4" s="7">
        <v>137328</v>
      </c>
      <c r="H4" s="7">
        <v>51076.9</v>
      </c>
      <c r="I4" s="7">
        <v>113930.55</v>
      </c>
      <c r="J4" s="7">
        <v>97517.75</v>
      </c>
      <c r="K4" s="7">
        <v>66828.600000000006</v>
      </c>
      <c r="L4" s="7">
        <v>118625.52</v>
      </c>
      <c r="M4" s="7">
        <v>73361.84</v>
      </c>
      <c r="N4" s="8">
        <v>37052.18</v>
      </c>
    </row>
    <row r="5" spans="2:14" ht="33.75" x14ac:dyDescent="0.2">
      <c r="B5" s="9" t="s">
        <v>16</v>
      </c>
      <c r="C5" s="10">
        <v>-1380.68</v>
      </c>
      <c r="D5" s="10">
        <v>-1008.14</v>
      </c>
      <c r="E5" s="10">
        <v>-3932.26</v>
      </c>
      <c r="F5" s="10">
        <v>-8696.08</v>
      </c>
      <c r="G5" s="10">
        <v>-6500.2</v>
      </c>
      <c r="H5" s="10">
        <v>-7833.19</v>
      </c>
      <c r="I5" s="10">
        <v>-3687.73</v>
      </c>
      <c r="J5" s="10">
        <v>-4028.42</v>
      </c>
      <c r="K5" s="10">
        <v>-5153.8999999999996</v>
      </c>
      <c r="L5" s="10">
        <v>-6980.94</v>
      </c>
      <c r="M5" s="10">
        <v>-5278.63</v>
      </c>
      <c r="N5" s="11">
        <v>-2371.09</v>
      </c>
    </row>
    <row r="6" spans="2:14" x14ac:dyDescent="0.2">
      <c r="B6" s="9" t="s">
        <v>40</v>
      </c>
      <c r="C6" s="10">
        <v>113.46</v>
      </c>
      <c r="D6" s="10">
        <v>57.74</v>
      </c>
      <c r="E6" s="10">
        <v>43.09</v>
      </c>
      <c r="F6" s="10">
        <v>259.35000000000002</v>
      </c>
      <c r="G6" s="10">
        <v>585.54</v>
      </c>
      <c r="H6" s="10">
        <v>1341.98</v>
      </c>
      <c r="I6" s="10">
        <v>2062.23</v>
      </c>
      <c r="J6" s="10">
        <v>2045.44</v>
      </c>
      <c r="K6" s="10">
        <v>2202.19</v>
      </c>
      <c r="L6" s="10">
        <v>2553.5</v>
      </c>
      <c r="M6" s="10">
        <v>2667.36</v>
      </c>
      <c r="N6" s="11">
        <v>3387.43</v>
      </c>
    </row>
    <row r="7" spans="2:14" ht="22.5" x14ac:dyDescent="0.2">
      <c r="B7" s="6" t="s">
        <v>17</v>
      </c>
      <c r="C7" s="7">
        <f t="shared" ref="C7:N7" si="0">SUM(C4:C6)</f>
        <v>23632.78</v>
      </c>
      <c r="D7" s="7">
        <f t="shared" si="0"/>
        <v>52055</v>
      </c>
      <c r="E7" s="7">
        <f t="shared" si="0"/>
        <v>195925.11</v>
      </c>
      <c r="F7" s="7">
        <f t="shared" si="0"/>
        <v>123229.09999999999</v>
      </c>
      <c r="G7" s="7">
        <f t="shared" si="0"/>
        <v>131413.34</v>
      </c>
      <c r="H7" s="7">
        <f t="shared" si="0"/>
        <v>44585.69</v>
      </c>
      <c r="I7" s="7">
        <f t="shared" si="0"/>
        <v>112305.05</v>
      </c>
      <c r="J7" s="7">
        <f t="shared" si="0"/>
        <v>95534.77</v>
      </c>
      <c r="K7" s="7">
        <f t="shared" si="0"/>
        <v>63876.890000000007</v>
      </c>
      <c r="L7" s="7">
        <f t="shared" si="0"/>
        <v>114198.08</v>
      </c>
      <c r="M7" s="7">
        <f t="shared" si="0"/>
        <v>70750.569999999992</v>
      </c>
      <c r="N7" s="8">
        <f t="shared" si="0"/>
        <v>38068.519999999997</v>
      </c>
    </row>
    <row r="8" spans="2:14" ht="33.75" x14ac:dyDescent="0.2">
      <c r="B8" s="9" t="s">
        <v>18</v>
      </c>
      <c r="C8" s="10">
        <v>-2415.46</v>
      </c>
      <c r="D8" s="10">
        <v>-2101.38</v>
      </c>
      <c r="E8" s="10">
        <v>-20133.62</v>
      </c>
      <c r="F8" s="10">
        <v>-7214.69</v>
      </c>
      <c r="G8" s="10">
        <v>-1207.7</v>
      </c>
      <c r="H8" s="10">
        <v>-2334.36</v>
      </c>
      <c r="I8" s="10">
        <v>-890.16</v>
      </c>
      <c r="J8" s="10">
        <v>-5268.1</v>
      </c>
      <c r="K8" s="10">
        <v>-2732.4</v>
      </c>
      <c r="L8" s="10">
        <v>-11927.27</v>
      </c>
      <c r="M8" s="10">
        <v>-2052.87</v>
      </c>
      <c r="N8" s="11">
        <v>-3961.22</v>
      </c>
    </row>
    <row r="9" spans="2:14" x14ac:dyDescent="0.2">
      <c r="B9" s="6" t="s">
        <v>19</v>
      </c>
      <c r="C9" s="7">
        <f>C7+C8</f>
        <v>21217.32</v>
      </c>
      <c r="D9" s="7">
        <f>D7+D8</f>
        <v>49953.62</v>
      </c>
      <c r="E9" s="7">
        <f>E7+E8</f>
        <v>175791.49</v>
      </c>
      <c r="F9" s="7">
        <f>F7+F8</f>
        <v>116014.40999999999</v>
      </c>
      <c r="G9" s="7">
        <f t="shared" ref="G9:N9" si="1">G7+G8</f>
        <v>130205.64</v>
      </c>
      <c r="H9" s="7">
        <f t="shared" si="1"/>
        <v>42251.33</v>
      </c>
      <c r="I9" s="7">
        <f t="shared" si="1"/>
        <v>111414.89</v>
      </c>
      <c r="J9" s="7">
        <f t="shared" si="1"/>
        <v>90266.67</v>
      </c>
      <c r="K9" s="7">
        <f t="shared" si="1"/>
        <v>61144.490000000005</v>
      </c>
      <c r="L9" s="7">
        <f t="shared" si="1"/>
        <v>102270.81</v>
      </c>
      <c r="M9" s="7">
        <f t="shared" si="1"/>
        <v>68697.7</v>
      </c>
      <c r="N9" s="8">
        <f t="shared" si="1"/>
        <v>34107.299999999996</v>
      </c>
    </row>
    <row r="10" spans="2:14" ht="22.5" x14ac:dyDescent="0.2">
      <c r="B10" s="92" t="s">
        <v>20</v>
      </c>
      <c r="C10" s="93">
        <v>-14076.27</v>
      </c>
      <c r="D10" s="93">
        <f t="shared" ref="D10:N10" si="2">SUM(D11:D14)</f>
        <v>-14440.869999999999</v>
      </c>
      <c r="E10" s="93">
        <f t="shared" si="2"/>
        <v>-14954.7</v>
      </c>
      <c r="F10" s="10">
        <f t="shared" si="2"/>
        <v>-18904.439999999999</v>
      </c>
      <c r="G10" s="10">
        <f t="shared" si="2"/>
        <v>-19000.52</v>
      </c>
      <c r="H10" s="10">
        <f t="shared" si="2"/>
        <v>-21362.720000000001</v>
      </c>
      <c r="I10" s="10">
        <f t="shared" si="2"/>
        <v>-15045.230000000001</v>
      </c>
      <c r="J10" s="10">
        <f t="shared" si="2"/>
        <v>-20576.770000000004</v>
      </c>
      <c r="K10" s="10">
        <f t="shared" si="2"/>
        <v>-19988.920000000002</v>
      </c>
      <c r="L10" s="10">
        <f t="shared" si="2"/>
        <v>-15533.37</v>
      </c>
      <c r="M10" s="10">
        <f t="shared" si="2"/>
        <v>-20921.13</v>
      </c>
      <c r="N10" s="11">
        <f t="shared" si="2"/>
        <v>-22636.29</v>
      </c>
    </row>
    <row r="11" spans="2:14" ht="22.5" x14ac:dyDescent="0.2">
      <c r="B11" s="9" t="s">
        <v>21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1">
        <v>0</v>
      </c>
    </row>
    <row r="12" spans="2:14" ht="22.5" x14ac:dyDescent="0.2">
      <c r="B12" s="9" t="s">
        <v>22</v>
      </c>
      <c r="C12" s="10">
        <v>-14054.88</v>
      </c>
      <c r="D12" s="10">
        <v>-14422.48</v>
      </c>
      <c r="E12" s="10">
        <v>-14938.75</v>
      </c>
      <c r="F12" s="10">
        <f>-3902-13169.41-1066.14-734.55</f>
        <v>-18872.099999999999</v>
      </c>
      <c r="G12" s="10">
        <f>-1815.6-14935.26-1075.04-1150.09</f>
        <v>-18975.990000000002</v>
      </c>
      <c r="H12" s="10">
        <f>-4571-15348.53-1059.34-375.36</f>
        <v>-21354.23</v>
      </c>
      <c r="I12" s="10">
        <f>-3666.78-10890.92-479.66</f>
        <v>-15037.36</v>
      </c>
      <c r="J12" s="10">
        <f>-3588-15843.47-1005.77-97.29</f>
        <v>-20534.530000000002</v>
      </c>
      <c r="K12" s="10">
        <f>-3204-15640.83-107.65-998.98-25.64</f>
        <v>-19977.100000000002</v>
      </c>
      <c r="L12" s="10">
        <f>-3204-11048.68-994.53-263.28</f>
        <v>-15510.490000000002</v>
      </c>
      <c r="M12" s="10">
        <f>-3268-14115.75-998.86-2531.33</f>
        <v>-20913.940000000002</v>
      </c>
      <c r="N12" s="11">
        <f>-5951.4-15584.6-995.52-97.47</f>
        <v>-22628.99</v>
      </c>
    </row>
    <row r="13" spans="2:14" ht="22.5" x14ac:dyDescent="0.2">
      <c r="B13" s="9" t="s">
        <v>23</v>
      </c>
      <c r="C13" s="10">
        <v>-21.39</v>
      </c>
      <c r="D13" s="10">
        <v>-18.39</v>
      </c>
      <c r="E13" s="10">
        <v>-15.95</v>
      </c>
      <c r="F13" s="10">
        <v>-32.340000000000003</v>
      </c>
      <c r="G13" s="10">
        <v>-24.53</v>
      </c>
      <c r="H13" s="10">
        <v>-8.49</v>
      </c>
      <c r="I13" s="10">
        <v>-7.87</v>
      </c>
      <c r="J13" s="10">
        <v>-42.24</v>
      </c>
      <c r="K13" s="10">
        <v>-11.82</v>
      </c>
      <c r="L13" s="10">
        <v>-22.88</v>
      </c>
      <c r="M13" s="10">
        <v>-7.19</v>
      </c>
      <c r="N13" s="11">
        <v>-7.3</v>
      </c>
    </row>
    <row r="14" spans="2:14" x14ac:dyDescent="0.2">
      <c r="B14" s="9" t="s">
        <v>24</v>
      </c>
      <c r="C14" s="12" t="s">
        <v>25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3"/>
    </row>
    <row r="15" spans="2:14" x14ac:dyDescent="0.2">
      <c r="B15" s="9" t="s">
        <v>26</v>
      </c>
      <c r="C15" s="10">
        <f t="shared" ref="C15:N15" si="3">C9+C10</f>
        <v>7141.0499999999993</v>
      </c>
      <c r="D15" s="10">
        <f t="shared" si="3"/>
        <v>35512.75</v>
      </c>
      <c r="E15" s="10">
        <f t="shared" si="3"/>
        <v>160836.78999999998</v>
      </c>
      <c r="F15" s="10">
        <f t="shared" si="3"/>
        <v>97109.969999999987</v>
      </c>
      <c r="G15" s="10">
        <f t="shared" si="3"/>
        <v>111205.12</v>
      </c>
      <c r="H15" s="10">
        <f t="shared" si="3"/>
        <v>20888.61</v>
      </c>
      <c r="I15" s="10">
        <f t="shared" si="3"/>
        <v>96369.66</v>
      </c>
      <c r="J15" s="10">
        <f t="shared" si="3"/>
        <v>69689.899999999994</v>
      </c>
      <c r="K15" s="10">
        <f t="shared" si="3"/>
        <v>41155.570000000007</v>
      </c>
      <c r="L15" s="10">
        <f t="shared" si="3"/>
        <v>86737.44</v>
      </c>
      <c r="M15" s="10">
        <f t="shared" si="3"/>
        <v>47776.569999999992</v>
      </c>
      <c r="N15" s="11">
        <f t="shared" si="3"/>
        <v>11471.009999999995</v>
      </c>
    </row>
    <row r="16" spans="2:14" ht="33.75" x14ac:dyDescent="0.2">
      <c r="B16" s="9" t="s">
        <v>27</v>
      </c>
      <c r="C16" s="10">
        <v>-6213.78</v>
      </c>
      <c r="D16" s="10">
        <v>-393.25</v>
      </c>
      <c r="E16" s="10">
        <v>-32494.53</v>
      </c>
      <c r="F16" s="10">
        <f>46.34-79351.48</f>
        <v>-79305.14</v>
      </c>
      <c r="G16" s="10">
        <f>50.88-48622.96</f>
        <v>-48572.08</v>
      </c>
      <c r="H16" s="10">
        <f>51.09-30392.51</f>
        <v>-30341.42</v>
      </c>
      <c r="I16" s="10">
        <f>51.46-4614.17</f>
        <v>-4562.71</v>
      </c>
      <c r="J16" s="10">
        <f>1448.88-4525.95</f>
        <v>-3077.0699999999997</v>
      </c>
      <c r="K16" s="10">
        <f>9235.65-71728.99</f>
        <v>-62493.340000000004</v>
      </c>
      <c r="L16" s="10">
        <f>34515.69-12976.73</f>
        <v>21538.960000000003</v>
      </c>
      <c r="M16" s="10">
        <f>46.05-9726.03</f>
        <v>-9679.9800000000014</v>
      </c>
      <c r="N16" s="11">
        <f>42.94-6979.48</f>
        <v>-6936.54</v>
      </c>
    </row>
    <row r="17" spans="2:14" ht="22.5" x14ac:dyDescent="0.2">
      <c r="B17" s="6" t="s">
        <v>28</v>
      </c>
      <c r="C17" s="7">
        <f>C15+C16</f>
        <v>927.26999999999953</v>
      </c>
      <c r="D17" s="7">
        <f>D15+D16</f>
        <v>35119.5</v>
      </c>
      <c r="E17" s="7">
        <f>E15+E16</f>
        <v>128342.25999999998</v>
      </c>
      <c r="F17" s="7">
        <f>F15+F16</f>
        <v>17804.829999999987</v>
      </c>
      <c r="G17" s="7">
        <f t="shared" ref="G17:N17" si="4">G15+G16</f>
        <v>62633.039999999994</v>
      </c>
      <c r="H17" s="7">
        <f t="shared" si="4"/>
        <v>-9452.8099999999977</v>
      </c>
      <c r="I17" s="7">
        <f t="shared" si="4"/>
        <v>91806.95</v>
      </c>
      <c r="J17" s="7">
        <f t="shared" si="4"/>
        <v>66612.829999999987</v>
      </c>
      <c r="K17" s="7">
        <f t="shared" si="4"/>
        <v>-21337.769999999997</v>
      </c>
      <c r="L17" s="7">
        <f t="shared" si="4"/>
        <v>108276.40000000001</v>
      </c>
      <c r="M17" s="7">
        <f t="shared" si="4"/>
        <v>38096.589999999989</v>
      </c>
      <c r="N17" s="8">
        <f t="shared" si="4"/>
        <v>4534.4699999999948</v>
      </c>
    </row>
    <row r="18" spans="2:14" x14ac:dyDescent="0.2">
      <c r="B18" s="9" t="s">
        <v>29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/>
      <c r="L18" s="10"/>
      <c r="M18" s="10"/>
      <c r="N18" s="11"/>
    </row>
    <row r="19" spans="2:14" x14ac:dyDescent="0.2">
      <c r="B19" s="6" t="s">
        <v>30</v>
      </c>
      <c r="C19" s="7">
        <f>C17+C18</f>
        <v>927.26999999999953</v>
      </c>
      <c r="D19" s="7">
        <f>D17+D18</f>
        <v>35119.5</v>
      </c>
      <c r="E19" s="7">
        <f>E17+E18</f>
        <v>128342.25999999998</v>
      </c>
      <c r="F19" s="7">
        <f>F17+F18</f>
        <v>17804.829999999987</v>
      </c>
      <c r="G19" s="7">
        <f t="shared" ref="G19:N19" si="5">G17+G18</f>
        <v>62633.039999999994</v>
      </c>
      <c r="H19" s="7">
        <f t="shared" si="5"/>
        <v>-9452.8099999999977</v>
      </c>
      <c r="I19" s="7">
        <f t="shared" si="5"/>
        <v>91806.95</v>
      </c>
      <c r="J19" s="7">
        <f t="shared" si="5"/>
        <v>66612.829999999987</v>
      </c>
      <c r="K19" s="7">
        <f t="shared" si="5"/>
        <v>-21337.769999999997</v>
      </c>
      <c r="L19" s="7">
        <f t="shared" si="5"/>
        <v>108276.40000000001</v>
      </c>
      <c r="M19" s="7">
        <f t="shared" si="5"/>
        <v>38096.589999999989</v>
      </c>
      <c r="N19" s="8">
        <f t="shared" si="5"/>
        <v>4534.4699999999948</v>
      </c>
    </row>
    <row r="20" spans="2:14" x14ac:dyDescent="0.2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8"/>
    </row>
    <row r="21" spans="2:14" ht="31.5" x14ac:dyDescent="0.2">
      <c r="B21" s="19" t="s">
        <v>31</v>
      </c>
      <c r="C21" s="20" t="s">
        <v>32</v>
      </c>
      <c r="D21" s="20" t="s">
        <v>32</v>
      </c>
      <c r="E21" s="20" t="s">
        <v>32</v>
      </c>
      <c r="F21" s="20" t="s">
        <v>32</v>
      </c>
      <c r="G21" s="20" t="s">
        <v>32</v>
      </c>
      <c r="H21" s="20" t="s">
        <v>32</v>
      </c>
      <c r="I21" s="20" t="s">
        <v>32</v>
      </c>
      <c r="J21" s="20" t="s">
        <v>32</v>
      </c>
      <c r="K21" s="20" t="s">
        <v>32</v>
      </c>
      <c r="L21" s="20" t="s">
        <v>32</v>
      </c>
      <c r="M21" s="20" t="s">
        <v>32</v>
      </c>
      <c r="N21" s="21" t="s">
        <v>32</v>
      </c>
    </row>
    <row r="22" spans="2:14" x14ac:dyDescent="0.2">
      <c r="B22" s="22" t="str">
        <f>B3</f>
        <v>Empresa:</v>
      </c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4"/>
    </row>
    <row r="23" spans="2:14" ht="22.5" x14ac:dyDescent="0.2">
      <c r="B23" s="25" t="s">
        <v>15</v>
      </c>
      <c r="C23" s="26">
        <f t="shared" ref="C23:F24" si="6">C4</f>
        <v>24900</v>
      </c>
      <c r="D23" s="26">
        <f t="shared" si="6"/>
        <v>53005.4</v>
      </c>
      <c r="E23" s="26">
        <f t="shared" si="6"/>
        <v>199814.28</v>
      </c>
      <c r="F23" s="26">
        <f t="shared" si="6"/>
        <v>131665.82999999999</v>
      </c>
      <c r="G23" s="26">
        <f t="shared" ref="G23:N23" si="7">G4</f>
        <v>137328</v>
      </c>
      <c r="H23" s="26">
        <f t="shared" si="7"/>
        <v>51076.9</v>
      </c>
      <c r="I23" s="26">
        <f t="shared" si="7"/>
        <v>113930.55</v>
      </c>
      <c r="J23" s="26">
        <f t="shared" si="7"/>
        <v>97517.75</v>
      </c>
      <c r="K23" s="26">
        <f t="shared" si="7"/>
        <v>66828.600000000006</v>
      </c>
      <c r="L23" s="26">
        <f t="shared" si="7"/>
        <v>118625.52</v>
      </c>
      <c r="M23" s="26">
        <f t="shared" si="7"/>
        <v>73361.84</v>
      </c>
      <c r="N23" s="27">
        <f t="shared" si="7"/>
        <v>37052.18</v>
      </c>
    </row>
    <row r="24" spans="2:14" ht="33.75" x14ac:dyDescent="0.2">
      <c r="B24" s="9" t="s">
        <v>16</v>
      </c>
      <c r="C24" s="10">
        <f t="shared" si="6"/>
        <v>-1380.68</v>
      </c>
      <c r="D24" s="10">
        <f t="shared" si="6"/>
        <v>-1008.14</v>
      </c>
      <c r="E24" s="10">
        <f t="shared" si="6"/>
        <v>-3932.26</v>
      </c>
      <c r="F24" s="10">
        <f t="shared" si="6"/>
        <v>-8696.08</v>
      </c>
      <c r="G24" s="10">
        <f t="shared" ref="G24:N24" si="8">G5</f>
        <v>-6500.2</v>
      </c>
      <c r="H24" s="10">
        <f t="shared" si="8"/>
        <v>-7833.19</v>
      </c>
      <c r="I24" s="10">
        <f t="shared" si="8"/>
        <v>-3687.73</v>
      </c>
      <c r="J24" s="10">
        <f t="shared" si="8"/>
        <v>-4028.42</v>
      </c>
      <c r="K24" s="10">
        <f t="shared" si="8"/>
        <v>-5153.8999999999996</v>
      </c>
      <c r="L24" s="10">
        <f t="shared" si="8"/>
        <v>-6980.94</v>
      </c>
      <c r="M24" s="10">
        <f t="shared" si="8"/>
        <v>-5278.63</v>
      </c>
      <c r="N24" s="11">
        <f t="shared" si="8"/>
        <v>-2371.09</v>
      </c>
    </row>
    <row r="25" spans="2:14" ht="22.5" x14ac:dyDescent="0.2">
      <c r="B25" s="25" t="s">
        <v>17</v>
      </c>
      <c r="C25" s="26">
        <f>C23+C24</f>
        <v>23519.32</v>
      </c>
      <c r="D25" s="26">
        <f>D23+D24</f>
        <v>51997.26</v>
      </c>
      <c r="E25" s="26">
        <f>E23+E24</f>
        <v>195882.02</v>
      </c>
      <c r="F25" s="26">
        <f>F23+F24</f>
        <v>122969.74999999999</v>
      </c>
      <c r="G25" s="26">
        <f t="shared" ref="G25:N25" si="9">G23+G24</f>
        <v>130827.8</v>
      </c>
      <c r="H25" s="26">
        <f t="shared" si="9"/>
        <v>43243.71</v>
      </c>
      <c r="I25" s="26">
        <f t="shared" si="9"/>
        <v>110242.82</v>
      </c>
      <c r="J25" s="26">
        <f t="shared" si="9"/>
        <v>93489.33</v>
      </c>
      <c r="K25" s="26">
        <f t="shared" si="9"/>
        <v>61674.700000000004</v>
      </c>
      <c r="L25" s="26">
        <f t="shared" si="9"/>
        <v>111644.58</v>
      </c>
      <c r="M25" s="26">
        <f t="shared" si="9"/>
        <v>68083.209999999992</v>
      </c>
      <c r="N25" s="27">
        <f t="shared" si="9"/>
        <v>34681.089999999997</v>
      </c>
    </row>
    <row r="26" spans="2:14" ht="33.75" x14ac:dyDescent="0.2">
      <c r="B26" s="9" t="s">
        <v>33</v>
      </c>
      <c r="C26" s="10">
        <f>C8</f>
        <v>-2415.46</v>
      </c>
      <c r="D26" s="10">
        <f>D8</f>
        <v>-2101.38</v>
      </c>
      <c r="E26" s="10">
        <f>E8</f>
        <v>-20133.62</v>
      </c>
      <c r="F26" s="10">
        <f>F8</f>
        <v>-7214.69</v>
      </c>
      <c r="G26" s="10">
        <f t="shared" ref="G26:N26" si="10">G8</f>
        <v>-1207.7</v>
      </c>
      <c r="H26" s="10">
        <f t="shared" si="10"/>
        <v>-2334.36</v>
      </c>
      <c r="I26" s="10">
        <f t="shared" si="10"/>
        <v>-890.16</v>
      </c>
      <c r="J26" s="10">
        <f t="shared" si="10"/>
        <v>-5268.1</v>
      </c>
      <c r="K26" s="10">
        <f t="shared" si="10"/>
        <v>-2732.4</v>
      </c>
      <c r="L26" s="10">
        <f t="shared" si="10"/>
        <v>-11927.27</v>
      </c>
      <c r="M26" s="10">
        <f t="shared" si="10"/>
        <v>-2052.87</v>
      </c>
      <c r="N26" s="11">
        <f t="shared" si="10"/>
        <v>-3961.22</v>
      </c>
    </row>
    <row r="27" spans="2:14" x14ac:dyDescent="0.2">
      <c r="B27" s="25" t="s">
        <v>19</v>
      </c>
      <c r="C27" s="26">
        <f>C25+C26</f>
        <v>21103.86</v>
      </c>
      <c r="D27" s="26">
        <f t="shared" ref="D27:N27" si="11">D25+D26</f>
        <v>49895.880000000005</v>
      </c>
      <c r="E27" s="26">
        <f t="shared" si="11"/>
        <v>175748.4</v>
      </c>
      <c r="F27" s="26">
        <f t="shared" si="11"/>
        <v>115755.05999999998</v>
      </c>
      <c r="G27" s="26">
        <f t="shared" si="11"/>
        <v>129620.1</v>
      </c>
      <c r="H27" s="26">
        <f t="shared" si="11"/>
        <v>40909.35</v>
      </c>
      <c r="I27" s="26">
        <f t="shared" si="11"/>
        <v>109352.66</v>
      </c>
      <c r="J27" s="26">
        <f t="shared" si="11"/>
        <v>88221.23</v>
      </c>
      <c r="K27" s="26">
        <f t="shared" si="11"/>
        <v>58942.3</v>
      </c>
      <c r="L27" s="26">
        <f t="shared" si="11"/>
        <v>99717.31</v>
      </c>
      <c r="M27" s="26">
        <f t="shared" si="11"/>
        <v>66030.34</v>
      </c>
      <c r="N27" s="27">
        <f t="shared" si="11"/>
        <v>30719.869999999995</v>
      </c>
    </row>
    <row r="28" spans="2:14" ht="22.5" x14ac:dyDescent="0.2">
      <c r="B28" s="9" t="s">
        <v>20</v>
      </c>
      <c r="C28" s="10">
        <f>SUM(C29:C30)</f>
        <v>-14054.88</v>
      </c>
      <c r="D28" s="10">
        <f>SUM(D29:D30)</f>
        <v>-14422.48</v>
      </c>
      <c r="E28" s="10">
        <f>SUM(E29:E30)</f>
        <v>-14938.75</v>
      </c>
      <c r="F28" s="10">
        <f>SUM(F29:F30)</f>
        <v>-18872.099999999999</v>
      </c>
      <c r="G28" s="10">
        <f t="shared" ref="G28:N28" si="12">SUM(G29:G30)</f>
        <v>-18975.990000000002</v>
      </c>
      <c r="H28" s="10">
        <f t="shared" si="12"/>
        <v>-21354.23</v>
      </c>
      <c r="I28" s="10">
        <f t="shared" si="12"/>
        <v>-15037.36</v>
      </c>
      <c r="J28" s="10">
        <f t="shared" si="12"/>
        <v>-20534.530000000002</v>
      </c>
      <c r="K28" s="10">
        <f t="shared" si="12"/>
        <v>-19977.100000000002</v>
      </c>
      <c r="L28" s="10">
        <f t="shared" si="12"/>
        <v>-15510.490000000002</v>
      </c>
      <c r="M28" s="10">
        <f t="shared" si="12"/>
        <v>-20913.940000000002</v>
      </c>
      <c r="N28" s="11">
        <f t="shared" si="12"/>
        <v>-22628.99</v>
      </c>
    </row>
    <row r="29" spans="2:14" ht="22.5" x14ac:dyDescent="0.2">
      <c r="B29" s="9" t="s">
        <v>21</v>
      </c>
      <c r="C29" s="10">
        <f t="shared" ref="C29:F30" si="13">C11</f>
        <v>0</v>
      </c>
      <c r="D29" s="10">
        <f t="shared" si="13"/>
        <v>0</v>
      </c>
      <c r="E29" s="10">
        <f t="shared" si="13"/>
        <v>0</v>
      </c>
      <c r="F29" s="10">
        <f t="shared" si="13"/>
        <v>0</v>
      </c>
      <c r="G29" s="10">
        <f t="shared" ref="G29:N29" si="14">G11</f>
        <v>0</v>
      </c>
      <c r="H29" s="10">
        <f t="shared" si="14"/>
        <v>0</v>
      </c>
      <c r="I29" s="10">
        <f t="shared" si="14"/>
        <v>0</v>
      </c>
      <c r="J29" s="10">
        <f t="shared" si="14"/>
        <v>0</v>
      </c>
      <c r="K29" s="10">
        <f t="shared" si="14"/>
        <v>0</v>
      </c>
      <c r="L29" s="10">
        <f t="shared" si="14"/>
        <v>0</v>
      </c>
      <c r="M29" s="10">
        <f t="shared" si="14"/>
        <v>0</v>
      </c>
      <c r="N29" s="11">
        <f t="shared" si="14"/>
        <v>0</v>
      </c>
    </row>
    <row r="30" spans="2:14" ht="22.5" x14ac:dyDescent="0.2">
      <c r="B30" s="9" t="s">
        <v>22</v>
      </c>
      <c r="C30" s="10">
        <f t="shared" si="13"/>
        <v>-14054.88</v>
      </c>
      <c r="D30" s="10">
        <f t="shared" si="13"/>
        <v>-14422.48</v>
      </c>
      <c r="E30" s="10">
        <f t="shared" si="13"/>
        <v>-14938.75</v>
      </c>
      <c r="F30" s="10">
        <f t="shared" si="13"/>
        <v>-18872.099999999999</v>
      </c>
      <c r="G30" s="10">
        <f t="shared" ref="G30:N30" si="15">G12</f>
        <v>-18975.990000000002</v>
      </c>
      <c r="H30" s="10">
        <f t="shared" si="15"/>
        <v>-21354.23</v>
      </c>
      <c r="I30" s="10">
        <f t="shared" si="15"/>
        <v>-15037.36</v>
      </c>
      <c r="J30" s="10">
        <f t="shared" si="15"/>
        <v>-20534.530000000002</v>
      </c>
      <c r="K30" s="10">
        <f t="shared" si="15"/>
        <v>-19977.100000000002</v>
      </c>
      <c r="L30" s="10">
        <f t="shared" si="15"/>
        <v>-15510.490000000002</v>
      </c>
      <c r="M30" s="10">
        <f t="shared" si="15"/>
        <v>-20913.940000000002</v>
      </c>
      <c r="N30" s="11">
        <f t="shared" si="15"/>
        <v>-22628.99</v>
      </c>
    </row>
    <row r="31" spans="2:14" x14ac:dyDescent="0.2">
      <c r="B31" s="28" t="s">
        <v>34</v>
      </c>
      <c r="C31" s="29">
        <f>C27+C28</f>
        <v>7048.9800000000014</v>
      </c>
      <c r="D31" s="29">
        <f>D27+D28</f>
        <v>35473.400000000009</v>
      </c>
      <c r="E31" s="29">
        <f>E27+E28</f>
        <v>160809.65</v>
      </c>
      <c r="F31" s="29">
        <f>F27+F28</f>
        <v>96882.959999999992</v>
      </c>
      <c r="G31" s="29">
        <f t="shared" ref="G31:N31" si="16">G27+G28</f>
        <v>110644.11</v>
      </c>
      <c r="H31" s="29">
        <f t="shared" si="16"/>
        <v>19555.12</v>
      </c>
      <c r="I31" s="29">
        <f t="shared" si="16"/>
        <v>94315.3</v>
      </c>
      <c r="J31" s="29">
        <f t="shared" si="16"/>
        <v>67686.7</v>
      </c>
      <c r="K31" s="29">
        <f t="shared" si="16"/>
        <v>38965.199999999997</v>
      </c>
      <c r="L31" s="29">
        <f t="shared" si="16"/>
        <v>84206.819999999992</v>
      </c>
      <c r="M31" s="29">
        <f t="shared" si="16"/>
        <v>45116.399999999994</v>
      </c>
      <c r="N31" s="30">
        <f t="shared" si="16"/>
        <v>8090.8799999999937</v>
      </c>
    </row>
    <row r="32" spans="2:14" x14ac:dyDescent="0.2">
      <c r="B32" s="9" t="s">
        <v>35</v>
      </c>
      <c r="C32" s="10">
        <v>4645.63</v>
      </c>
      <c r="D32" s="10">
        <v>4614.91</v>
      </c>
      <c r="E32" s="10">
        <v>4614.91</v>
      </c>
      <c r="F32" s="10">
        <v>4614.91</v>
      </c>
      <c r="G32" s="10">
        <v>4693.2299999999996</v>
      </c>
      <c r="H32" s="10">
        <v>4693.2299999999996</v>
      </c>
      <c r="I32" s="10">
        <v>4713.67</v>
      </c>
      <c r="J32" s="10">
        <v>4659.5</v>
      </c>
      <c r="K32" s="10">
        <v>4659.5</v>
      </c>
      <c r="L32" s="10">
        <v>5200.0600000000004</v>
      </c>
      <c r="M32" s="10">
        <v>5200.0600000000004</v>
      </c>
      <c r="N32" s="11">
        <v>5170.21</v>
      </c>
    </row>
    <row r="33" spans="2:14" x14ac:dyDescent="0.2">
      <c r="B33" s="28" t="s">
        <v>36</v>
      </c>
      <c r="C33" s="29">
        <f>C31+C32</f>
        <v>11694.61</v>
      </c>
      <c r="D33" s="29">
        <f>D31+D32</f>
        <v>40088.310000000012</v>
      </c>
      <c r="E33" s="29">
        <f>E31+E32</f>
        <v>165424.56</v>
      </c>
      <c r="F33" s="29">
        <f>F31+F32</f>
        <v>101497.87</v>
      </c>
      <c r="G33" s="29">
        <f t="shared" ref="G33:N33" si="17">G31+G32</f>
        <v>115337.34</v>
      </c>
      <c r="H33" s="29">
        <f t="shared" si="17"/>
        <v>24248.35</v>
      </c>
      <c r="I33" s="29">
        <f t="shared" si="17"/>
        <v>99028.97</v>
      </c>
      <c r="J33" s="29">
        <f t="shared" si="17"/>
        <v>72346.2</v>
      </c>
      <c r="K33" s="29">
        <f t="shared" si="17"/>
        <v>43624.7</v>
      </c>
      <c r="L33" s="29">
        <f t="shared" si="17"/>
        <v>89406.87999999999</v>
      </c>
      <c r="M33" s="29">
        <f t="shared" si="17"/>
        <v>50316.459999999992</v>
      </c>
      <c r="N33" s="30">
        <f t="shared" si="17"/>
        <v>13261.089999999993</v>
      </c>
    </row>
    <row r="34" spans="2:14" x14ac:dyDescent="0.2">
      <c r="B34" s="31" t="s">
        <v>37</v>
      </c>
      <c r="C34" s="32" t="s">
        <v>38</v>
      </c>
      <c r="D34" s="33">
        <f>D33/C33-1</f>
        <v>2.4279304739533862</v>
      </c>
      <c r="E34" s="33">
        <f t="shared" ref="E34:N34" si="18">E33/D33-1</f>
        <v>3.126503711431087</v>
      </c>
      <c r="F34" s="33">
        <f t="shared" si="18"/>
        <v>-0.38644013923930043</v>
      </c>
      <c r="G34" s="33">
        <f t="shared" si="18"/>
        <v>0.13635231951172977</v>
      </c>
      <c r="H34" s="33">
        <f t="shared" si="18"/>
        <v>-0.78976149441282417</v>
      </c>
      <c r="I34" s="33">
        <f t="shared" si="18"/>
        <v>3.0839467427680649</v>
      </c>
      <c r="J34" s="33">
        <f t="shared" si="18"/>
        <v>-0.26944408287796995</v>
      </c>
      <c r="K34" s="33">
        <f t="shared" si="18"/>
        <v>-0.39700080999416698</v>
      </c>
      <c r="L34" s="33">
        <f t="shared" si="18"/>
        <v>1.049455469034744</v>
      </c>
      <c r="M34" s="33">
        <f t="shared" si="18"/>
        <v>-0.43721937282678924</v>
      </c>
      <c r="N34" s="34">
        <f t="shared" si="18"/>
        <v>-0.73644628417817959</v>
      </c>
    </row>
    <row r="35" spans="2:14" x14ac:dyDescent="0.2">
      <c r="B35" s="31" t="s">
        <v>39</v>
      </c>
      <c r="C35" s="32"/>
      <c r="D35" s="35">
        <f>1*(D34/100+1)</f>
        <v>1.0242793047395338</v>
      </c>
      <c r="E35" s="35">
        <f>D35*(E34/100+1)</f>
        <v>1.0563034352176357</v>
      </c>
      <c r="F35" s="35">
        <f t="shared" ref="F35:N35" si="19">E35*(F34/100+1)</f>
        <v>1.0522214547517912</v>
      </c>
      <c r="G35" s="35">
        <f t="shared" si="19"/>
        <v>1.0536561831117452</v>
      </c>
      <c r="H35" s="35">
        <f t="shared" si="19"/>
        <v>1.0453348122940289</v>
      </c>
      <c r="I35" s="35">
        <f t="shared" si="19"/>
        <v>1.0775723811887912</v>
      </c>
      <c r="J35" s="35">
        <f t="shared" si="19"/>
        <v>1.0746689261689508</v>
      </c>
      <c r="K35" s="35">
        <f t="shared" si="19"/>
        <v>1.0704024818273046</v>
      </c>
      <c r="L35" s="35">
        <f t="shared" si="19"/>
        <v>1.0816358792135248</v>
      </c>
      <c r="M35" s="35">
        <f t="shared" si="19"/>
        <v>1.0769067576061579</v>
      </c>
      <c r="N35" s="36">
        <f t="shared" si="19"/>
        <v>1.0689759178057037</v>
      </c>
    </row>
    <row r="36" spans="2:14" ht="13.5" thickBot="1" x14ac:dyDescent="0.25">
      <c r="B36" s="37" t="s">
        <v>39</v>
      </c>
      <c r="C36" s="38" t="s">
        <v>38</v>
      </c>
      <c r="D36" s="39">
        <f>D35-1</f>
        <v>2.4279304739533769E-2</v>
      </c>
      <c r="E36" s="39">
        <f t="shared" ref="E36:N36" si="20">E35-1</f>
        <v>5.63034352176357E-2</v>
      </c>
      <c r="F36" s="39">
        <f t="shared" si="20"/>
        <v>5.2221454751791185E-2</v>
      </c>
      <c r="G36" s="39">
        <f t="shared" si="20"/>
        <v>5.3656183111745248E-2</v>
      </c>
      <c r="H36" s="39">
        <f t="shared" si="20"/>
        <v>4.5334812294028914E-2</v>
      </c>
      <c r="I36" s="39">
        <f t="shared" si="20"/>
        <v>7.7572381188791173E-2</v>
      </c>
      <c r="J36" s="39">
        <f t="shared" si="20"/>
        <v>7.4668926168950822E-2</v>
      </c>
      <c r="K36" s="39">
        <f t="shared" si="20"/>
        <v>7.0402481827304575E-2</v>
      </c>
      <c r="L36" s="39">
        <f t="shared" si="20"/>
        <v>8.1635879213524776E-2</v>
      </c>
      <c r="M36" s="39">
        <f t="shared" si="20"/>
        <v>7.6906757606157949E-2</v>
      </c>
      <c r="N36" s="40">
        <f t="shared" si="20"/>
        <v>6.8975917805703668E-2</v>
      </c>
    </row>
  </sheetData>
  <mergeCells count="2">
    <mergeCell ref="C2:N2"/>
    <mergeCell ref="B1:N1"/>
  </mergeCells>
  <phoneticPr fontId="0" type="noConversion"/>
  <printOptions horizontalCentered="1"/>
  <pageMargins left="7.874015748031496E-2" right="7.874015748031496E-2" top="0.61" bottom="7.874015748031496E-2" header="7.874015748031496E-2" footer="3.937007874015748E-2"/>
  <pageSetup paperSize="9" scale="75" orientation="portrait" useFirstPageNumber="1" horizontalDpi="300" verticalDpi="300" r:id="rId1"/>
  <headerFooter alignWithMargins="0">
    <oddHeader>&amp;L&amp;"Times New Roman,Negrito"&amp;12
WONDERFUL PROPAGANDA LTDA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N36"/>
  <sheetViews>
    <sheetView topLeftCell="A19" zoomScaleNormal="100" zoomScaleSheetLayoutView="100" workbookViewId="0">
      <selection activeCell="C31" sqref="C31"/>
    </sheetView>
  </sheetViews>
  <sheetFormatPr defaultColWidth="11.5703125" defaultRowHeight="12.75" x14ac:dyDescent="0.2"/>
  <cols>
    <col min="1" max="1" width="3" style="2" customWidth="1"/>
    <col min="2" max="2" width="18.42578125" style="2" bestFit="1" customWidth="1"/>
    <col min="3" max="4" width="9" style="2" bestFit="1" customWidth="1"/>
    <col min="5" max="7" width="9.28515625" style="2" bestFit="1" customWidth="1"/>
    <col min="8" max="8" width="9" style="2" bestFit="1" customWidth="1"/>
    <col min="9" max="9" width="9.28515625" style="2" bestFit="1" customWidth="1"/>
    <col min="10" max="11" width="9" style="2" bestFit="1" customWidth="1"/>
    <col min="12" max="12" width="9.28515625" style="2" bestFit="1" customWidth="1"/>
    <col min="13" max="13" width="9.5703125" style="2" bestFit="1" customWidth="1"/>
    <col min="14" max="14" width="10.85546875" style="2" customWidth="1"/>
    <col min="15" max="16384" width="11.5703125" style="2"/>
  </cols>
  <sheetData>
    <row r="1" spans="2:14" ht="25.5" customHeight="1" thickBot="1" x14ac:dyDescent="0.25">
      <c r="B1" s="189" t="s">
        <v>42</v>
      </c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1"/>
    </row>
    <row r="2" spans="2:14" x14ac:dyDescent="0.2">
      <c r="B2" s="1" t="s">
        <v>0</v>
      </c>
      <c r="C2" s="188" t="s">
        <v>1</v>
      </c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</row>
    <row r="3" spans="2:14" x14ac:dyDescent="0.2">
      <c r="B3" s="3" t="s">
        <v>2</v>
      </c>
      <c r="C3" s="4" t="s">
        <v>3</v>
      </c>
      <c r="D3" s="4" t="s">
        <v>4</v>
      </c>
      <c r="E3" s="94" t="s">
        <v>5</v>
      </c>
      <c r="F3" s="94" t="s">
        <v>6</v>
      </c>
      <c r="G3" s="94" t="s">
        <v>7</v>
      </c>
      <c r="H3" s="94" t="s">
        <v>8</v>
      </c>
      <c r="I3" s="94" t="s">
        <v>9</v>
      </c>
      <c r="J3" s="94" t="s">
        <v>10</v>
      </c>
      <c r="K3" s="94" t="s">
        <v>11</v>
      </c>
      <c r="L3" s="94" t="s">
        <v>12</v>
      </c>
      <c r="M3" s="94" t="s">
        <v>13</v>
      </c>
      <c r="N3" s="95" t="s">
        <v>14</v>
      </c>
    </row>
    <row r="4" spans="2:14" ht="22.5" x14ac:dyDescent="0.2">
      <c r="B4" s="6" t="s">
        <v>15</v>
      </c>
      <c r="C4" s="7">
        <v>62401.5</v>
      </c>
      <c r="D4" s="7">
        <v>98457.78</v>
      </c>
      <c r="E4" s="96">
        <v>0</v>
      </c>
      <c r="F4" s="96">
        <v>0</v>
      </c>
      <c r="G4" s="96">
        <v>0</v>
      </c>
      <c r="H4" s="96">
        <v>0</v>
      </c>
      <c r="I4" s="96">
        <v>0</v>
      </c>
      <c r="J4" s="96">
        <v>0</v>
      </c>
      <c r="K4" s="96">
        <v>0</v>
      </c>
      <c r="L4" s="96">
        <v>0</v>
      </c>
      <c r="M4" s="96">
        <v>0</v>
      </c>
      <c r="N4" s="97">
        <v>0</v>
      </c>
    </row>
    <row r="5" spans="2:14" ht="33.75" x14ac:dyDescent="0.2">
      <c r="B5" s="9" t="s">
        <v>16</v>
      </c>
      <c r="C5" s="10">
        <v>-1688.33</v>
      </c>
      <c r="D5" s="10">
        <v>-3172.43</v>
      </c>
      <c r="E5" s="98">
        <v>0</v>
      </c>
      <c r="F5" s="98">
        <v>0</v>
      </c>
      <c r="G5" s="98">
        <v>0</v>
      </c>
      <c r="H5" s="98">
        <v>0</v>
      </c>
      <c r="I5" s="98">
        <v>0</v>
      </c>
      <c r="J5" s="98">
        <v>0</v>
      </c>
      <c r="K5" s="98">
        <v>0</v>
      </c>
      <c r="L5" s="98">
        <v>0</v>
      </c>
      <c r="M5" s="98">
        <v>0</v>
      </c>
      <c r="N5" s="99">
        <v>0</v>
      </c>
    </row>
    <row r="6" spans="2:14" x14ac:dyDescent="0.2">
      <c r="B6" s="9" t="s">
        <v>40</v>
      </c>
      <c r="C6" s="10">
        <v>3122.74</v>
      </c>
      <c r="D6" s="10">
        <v>2857.18</v>
      </c>
      <c r="E6" s="98">
        <v>0</v>
      </c>
      <c r="F6" s="98">
        <v>0</v>
      </c>
      <c r="G6" s="98">
        <v>0</v>
      </c>
      <c r="H6" s="98">
        <v>0</v>
      </c>
      <c r="I6" s="98">
        <v>0</v>
      </c>
      <c r="J6" s="98">
        <v>0</v>
      </c>
      <c r="K6" s="98">
        <v>0</v>
      </c>
      <c r="L6" s="98">
        <v>0</v>
      </c>
      <c r="M6" s="98">
        <v>0</v>
      </c>
      <c r="N6" s="99">
        <v>0</v>
      </c>
    </row>
    <row r="7" spans="2:14" ht="22.5" x14ac:dyDescent="0.2">
      <c r="B7" s="6" t="s">
        <v>17</v>
      </c>
      <c r="C7" s="7">
        <f t="shared" ref="C7:N7" si="0">SUM(C4:C6)</f>
        <v>63835.909999999996</v>
      </c>
      <c r="D7" s="7">
        <f t="shared" si="0"/>
        <v>98142.53</v>
      </c>
      <c r="E7" s="96">
        <f t="shared" si="0"/>
        <v>0</v>
      </c>
      <c r="F7" s="96">
        <f t="shared" si="0"/>
        <v>0</v>
      </c>
      <c r="G7" s="96">
        <f t="shared" si="0"/>
        <v>0</v>
      </c>
      <c r="H7" s="96">
        <f t="shared" si="0"/>
        <v>0</v>
      </c>
      <c r="I7" s="96">
        <f t="shared" si="0"/>
        <v>0</v>
      </c>
      <c r="J7" s="96">
        <f t="shared" si="0"/>
        <v>0</v>
      </c>
      <c r="K7" s="96">
        <f t="shared" si="0"/>
        <v>0</v>
      </c>
      <c r="L7" s="96">
        <f t="shared" si="0"/>
        <v>0</v>
      </c>
      <c r="M7" s="96">
        <f t="shared" si="0"/>
        <v>0</v>
      </c>
      <c r="N7" s="97">
        <f t="shared" si="0"/>
        <v>0</v>
      </c>
    </row>
    <row r="8" spans="2:14" ht="33.75" x14ac:dyDescent="0.2">
      <c r="B8" s="9" t="s">
        <v>18</v>
      </c>
      <c r="C8" s="10">
        <v>-985.9</v>
      </c>
      <c r="D8" s="10">
        <v>-3700</v>
      </c>
      <c r="E8" s="98">
        <v>0</v>
      </c>
      <c r="F8" s="98">
        <v>0</v>
      </c>
      <c r="G8" s="98">
        <v>0</v>
      </c>
      <c r="H8" s="98">
        <v>0</v>
      </c>
      <c r="I8" s="98">
        <v>0</v>
      </c>
      <c r="J8" s="98">
        <v>0</v>
      </c>
      <c r="K8" s="98">
        <v>0</v>
      </c>
      <c r="L8" s="98">
        <v>0</v>
      </c>
      <c r="M8" s="98">
        <v>0</v>
      </c>
      <c r="N8" s="99">
        <v>0</v>
      </c>
    </row>
    <row r="9" spans="2:14" x14ac:dyDescent="0.2">
      <c r="B9" s="6" t="s">
        <v>19</v>
      </c>
      <c r="C9" s="7">
        <f t="shared" ref="C9:N9" si="1">C7+C8</f>
        <v>62850.009999999995</v>
      </c>
      <c r="D9" s="7">
        <f t="shared" si="1"/>
        <v>94442.53</v>
      </c>
      <c r="E9" s="96">
        <f t="shared" si="1"/>
        <v>0</v>
      </c>
      <c r="F9" s="96">
        <f t="shared" si="1"/>
        <v>0</v>
      </c>
      <c r="G9" s="96">
        <f t="shared" si="1"/>
        <v>0</v>
      </c>
      <c r="H9" s="96">
        <f t="shared" si="1"/>
        <v>0</v>
      </c>
      <c r="I9" s="96">
        <f t="shared" si="1"/>
        <v>0</v>
      </c>
      <c r="J9" s="96">
        <f t="shared" si="1"/>
        <v>0</v>
      </c>
      <c r="K9" s="96">
        <f t="shared" si="1"/>
        <v>0</v>
      </c>
      <c r="L9" s="96">
        <f t="shared" si="1"/>
        <v>0</v>
      </c>
      <c r="M9" s="96">
        <f t="shared" si="1"/>
        <v>0</v>
      </c>
      <c r="N9" s="97">
        <f t="shared" si="1"/>
        <v>0</v>
      </c>
    </row>
    <row r="10" spans="2:14" ht="22.5" x14ac:dyDescent="0.2">
      <c r="B10" s="92" t="s">
        <v>20</v>
      </c>
      <c r="C10" s="93">
        <f t="shared" ref="C10:N10" si="2">SUM(C11:C14)</f>
        <v>-17296.920000000002</v>
      </c>
      <c r="D10" s="93">
        <f t="shared" si="2"/>
        <v>-19664.63</v>
      </c>
      <c r="E10" s="100">
        <f t="shared" si="2"/>
        <v>0</v>
      </c>
      <c r="F10" s="98">
        <f t="shared" si="2"/>
        <v>0</v>
      </c>
      <c r="G10" s="98">
        <f t="shared" si="2"/>
        <v>0</v>
      </c>
      <c r="H10" s="98">
        <f t="shared" si="2"/>
        <v>0</v>
      </c>
      <c r="I10" s="98">
        <f t="shared" si="2"/>
        <v>0</v>
      </c>
      <c r="J10" s="98">
        <f t="shared" si="2"/>
        <v>0</v>
      </c>
      <c r="K10" s="98">
        <f t="shared" si="2"/>
        <v>0</v>
      </c>
      <c r="L10" s="98">
        <f t="shared" si="2"/>
        <v>0</v>
      </c>
      <c r="M10" s="98">
        <f t="shared" si="2"/>
        <v>0</v>
      </c>
      <c r="N10" s="99">
        <f t="shared" si="2"/>
        <v>0</v>
      </c>
    </row>
    <row r="11" spans="2:14" ht="22.5" x14ac:dyDescent="0.2">
      <c r="B11" s="9" t="s">
        <v>21</v>
      </c>
      <c r="C11" s="10">
        <v>0</v>
      </c>
      <c r="D11" s="10">
        <v>0</v>
      </c>
      <c r="E11" s="98">
        <v>0</v>
      </c>
      <c r="F11" s="98">
        <v>0</v>
      </c>
      <c r="G11" s="98">
        <v>0</v>
      </c>
      <c r="H11" s="98">
        <v>0</v>
      </c>
      <c r="I11" s="98">
        <v>0</v>
      </c>
      <c r="J11" s="98">
        <v>0</v>
      </c>
      <c r="K11" s="98">
        <v>0</v>
      </c>
      <c r="L11" s="98">
        <v>0</v>
      </c>
      <c r="M11" s="98">
        <v>0</v>
      </c>
      <c r="N11" s="99">
        <v>0</v>
      </c>
    </row>
    <row r="12" spans="2:14" ht="22.5" x14ac:dyDescent="0.2">
      <c r="B12" s="9" t="s">
        <v>22</v>
      </c>
      <c r="C12" s="10">
        <f>-1779.99-9886.96-1040.03-4578.45</f>
        <v>-17285.43</v>
      </c>
      <c r="D12" s="10">
        <f>-3617.2-854.25-4780.19-10228.5-174.61</f>
        <v>-19654.75</v>
      </c>
      <c r="E12" s="98">
        <v>0</v>
      </c>
      <c r="F12" s="98">
        <v>0</v>
      </c>
      <c r="G12" s="98">
        <v>0</v>
      </c>
      <c r="H12" s="98">
        <v>0</v>
      </c>
      <c r="I12" s="98">
        <v>0</v>
      </c>
      <c r="J12" s="98">
        <v>0</v>
      </c>
      <c r="K12" s="98">
        <v>0</v>
      </c>
      <c r="L12" s="98">
        <v>0</v>
      </c>
      <c r="M12" s="98">
        <v>0</v>
      </c>
      <c r="N12" s="99">
        <v>0</v>
      </c>
    </row>
    <row r="13" spans="2:14" ht="22.5" x14ac:dyDescent="0.2">
      <c r="B13" s="9" t="s">
        <v>23</v>
      </c>
      <c r="C13" s="10">
        <v>-11.49</v>
      </c>
      <c r="D13" s="10">
        <v>-9.8800000000000008</v>
      </c>
      <c r="E13" s="98">
        <v>0</v>
      </c>
      <c r="F13" s="98">
        <v>0</v>
      </c>
      <c r="G13" s="98">
        <v>0</v>
      </c>
      <c r="H13" s="98">
        <v>0</v>
      </c>
      <c r="I13" s="98">
        <v>0</v>
      </c>
      <c r="J13" s="98">
        <v>0</v>
      </c>
      <c r="K13" s="98">
        <v>0</v>
      </c>
      <c r="L13" s="98">
        <v>0</v>
      </c>
      <c r="M13" s="98">
        <v>0</v>
      </c>
      <c r="N13" s="99">
        <v>0</v>
      </c>
    </row>
    <row r="14" spans="2:14" x14ac:dyDescent="0.2">
      <c r="B14" s="9" t="s">
        <v>24</v>
      </c>
      <c r="C14" s="12" t="s">
        <v>25</v>
      </c>
      <c r="D14" s="12"/>
      <c r="E14" s="101"/>
      <c r="F14" s="101"/>
      <c r="G14" s="101"/>
      <c r="H14" s="101"/>
      <c r="I14" s="101"/>
      <c r="J14" s="101"/>
      <c r="K14" s="101"/>
      <c r="L14" s="101"/>
      <c r="M14" s="101"/>
      <c r="N14" s="102"/>
    </row>
    <row r="15" spans="2:14" x14ac:dyDescent="0.2">
      <c r="B15" s="9" t="s">
        <v>26</v>
      </c>
      <c r="C15" s="10">
        <f t="shared" ref="C15:N15" si="3">C9+C10</f>
        <v>45553.09</v>
      </c>
      <c r="D15" s="10">
        <f t="shared" si="3"/>
        <v>74777.899999999994</v>
      </c>
      <c r="E15" s="98">
        <f t="shared" si="3"/>
        <v>0</v>
      </c>
      <c r="F15" s="98">
        <f t="shared" si="3"/>
        <v>0</v>
      </c>
      <c r="G15" s="98">
        <f t="shared" si="3"/>
        <v>0</v>
      </c>
      <c r="H15" s="98">
        <f t="shared" si="3"/>
        <v>0</v>
      </c>
      <c r="I15" s="98">
        <f t="shared" si="3"/>
        <v>0</v>
      </c>
      <c r="J15" s="98">
        <f t="shared" si="3"/>
        <v>0</v>
      </c>
      <c r="K15" s="98">
        <f t="shared" si="3"/>
        <v>0</v>
      </c>
      <c r="L15" s="98">
        <f t="shared" si="3"/>
        <v>0</v>
      </c>
      <c r="M15" s="98">
        <f t="shared" si="3"/>
        <v>0</v>
      </c>
      <c r="N15" s="99">
        <f t="shared" si="3"/>
        <v>0</v>
      </c>
    </row>
    <row r="16" spans="2:14" ht="33.75" x14ac:dyDescent="0.2">
      <c r="B16" s="9" t="s">
        <v>27</v>
      </c>
      <c r="C16" s="10">
        <f>50.4-1945.94</f>
        <v>-1895.54</v>
      </c>
      <c r="D16" s="10">
        <f>49.47-2632.89</f>
        <v>-2583.42</v>
      </c>
      <c r="E16" s="98">
        <v>0</v>
      </c>
      <c r="F16" s="98">
        <v>0</v>
      </c>
      <c r="G16" s="98">
        <v>0</v>
      </c>
      <c r="H16" s="98">
        <v>0</v>
      </c>
      <c r="I16" s="98">
        <v>0</v>
      </c>
      <c r="J16" s="98">
        <v>0</v>
      </c>
      <c r="K16" s="98">
        <v>0</v>
      </c>
      <c r="L16" s="98">
        <v>0</v>
      </c>
      <c r="M16" s="98">
        <v>0</v>
      </c>
      <c r="N16" s="99">
        <v>0</v>
      </c>
    </row>
    <row r="17" spans="2:14" ht="22.5" x14ac:dyDescent="0.2">
      <c r="B17" s="6" t="s">
        <v>28</v>
      </c>
      <c r="C17" s="7">
        <f t="shared" ref="C17:N17" si="4">C15+C16</f>
        <v>43657.549999999996</v>
      </c>
      <c r="D17" s="7">
        <f t="shared" si="4"/>
        <v>72194.48</v>
      </c>
      <c r="E17" s="96">
        <f t="shared" si="4"/>
        <v>0</v>
      </c>
      <c r="F17" s="96">
        <f t="shared" si="4"/>
        <v>0</v>
      </c>
      <c r="G17" s="96">
        <f t="shared" si="4"/>
        <v>0</v>
      </c>
      <c r="H17" s="96">
        <f t="shared" si="4"/>
        <v>0</v>
      </c>
      <c r="I17" s="96">
        <f t="shared" si="4"/>
        <v>0</v>
      </c>
      <c r="J17" s="96">
        <f t="shared" si="4"/>
        <v>0</v>
      </c>
      <c r="K17" s="96">
        <f t="shared" si="4"/>
        <v>0</v>
      </c>
      <c r="L17" s="96">
        <f t="shared" si="4"/>
        <v>0</v>
      </c>
      <c r="M17" s="96">
        <f t="shared" si="4"/>
        <v>0</v>
      </c>
      <c r="N17" s="97">
        <f t="shared" si="4"/>
        <v>0</v>
      </c>
    </row>
    <row r="18" spans="2:14" x14ac:dyDescent="0.2">
      <c r="B18" s="9" t="s">
        <v>29</v>
      </c>
      <c r="C18" s="10">
        <v>0</v>
      </c>
      <c r="D18" s="10">
        <v>0</v>
      </c>
      <c r="E18" s="98">
        <v>0</v>
      </c>
      <c r="F18" s="98">
        <v>0</v>
      </c>
      <c r="G18" s="98">
        <v>0</v>
      </c>
      <c r="H18" s="98">
        <v>0</v>
      </c>
      <c r="I18" s="98">
        <v>0</v>
      </c>
      <c r="J18" s="98">
        <v>0</v>
      </c>
      <c r="K18" s="98"/>
      <c r="L18" s="98"/>
      <c r="M18" s="98"/>
      <c r="N18" s="99"/>
    </row>
    <row r="19" spans="2:14" x14ac:dyDescent="0.2">
      <c r="B19" s="6" t="s">
        <v>30</v>
      </c>
      <c r="C19" s="7">
        <f t="shared" ref="C19:N19" si="5">C17+C18</f>
        <v>43657.549999999996</v>
      </c>
      <c r="D19" s="7">
        <f t="shared" si="5"/>
        <v>72194.48</v>
      </c>
      <c r="E19" s="96">
        <f t="shared" si="5"/>
        <v>0</v>
      </c>
      <c r="F19" s="96">
        <f t="shared" si="5"/>
        <v>0</v>
      </c>
      <c r="G19" s="96">
        <f t="shared" si="5"/>
        <v>0</v>
      </c>
      <c r="H19" s="96">
        <f t="shared" si="5"/>
        <v>0</v>
      </c>
      <c r="I19" s="96">
        <f t="shared" si="5"/>
        <v>0</v>
      </c>
      <c r="J19" s="96">
        <f t="shared" si="5"/>
        <v>0</v>
      </c>
      <c r="K19" s="96">
        <f t="shared" si="5"/>
        <v>0</v>
      </c>
      <c r="L19" s="96">
        <f t="shared" si="5"/>
        <v>0</v>
      </c>
      <c r="M19" s="96">
        <f t="shared" si="5"/>
        <v>0</v>
      </c>
      <c r="N19" s="97">
        <f t="shared" si="5"/>
        <v>0</v>
      </c>
    </row>
    <row r="20" spans="2:14" x14ac:dyDescent="0.2">
      <c r="B20" s="16"/>
      <c r="C20" s="17"/>
      <c r="D20" s="17"/>
      <c r="E20" s="103"/>
      <c r="F20" s="103"/>
      <c r="G20" s="103"/>
      <c r="H20" s="103"/>
      <c r="I20" s="103"/>
      <c r="J20" s="103"/>
      <c r="K20" s="103"/>
      <c r="L20" s="103"/>
      <c r="M20" s="103"/>
      <c r="N20" s="104"/>
    </row>
    <row r="21" spans="2:14" ht="31.5" x14ac:dyDescent="0.2">
      <c r="B21" s="19" t="s">
        <v>31</v>
      </c>
      <c r="C21" s="20" t="s">
        <v>32</v>
      </c>
      <c r="D21" s="20" t="s">
        <v>32</v>
      </c>
      <c r="E21" s="105" t="s">
        <v>32</v>
      </c>
      <c r="F21" s="105" t="s">
        <v>32</v>
      </c>
      <c r="G21" s="105" t="s">
        <v>32</v>
      </c>
      <c r="H21" s="105" t="s">
        <v>32</v>
      </c>
      <c r="I21" s="105" t="s">
        <v>32</v>
      </c>
      <c r="J21" s="105" t="s">
        <v>32</v>
      </c>
      <c r="K21" s="105" t="s">
        <v>32</v>
      </c>
      <c r="L21" s="105" t="s">
        <v>32</v>
      </c>
      <c r="M21" s="105" t="s">
        <v>32</v>
      </c>
      <c r="N21" s="106" t="s">
        <v>32</v>
      </c>
    </row>
    <row r="22" spans="2:14" x14ac:dyDescent="0.2">
      <c r="B22" s="22" t="str">
        <f>B3</f>
        <v>Empresa:</v>
      </c>
      <c r="C22" s="23"/>
      <c r="D22" s="23"/>
      <c r="E22" s="107"/>
      <c r="F22" s="107"/>
      <c r="G22" s="107"/>
      <c r="H22" s="107"/>
      <c r="I22" s="107"/>
      <c r="J22" s="107"/>
      <c r="K22" s="107"/>
      <c r="L22" s="107"/>
      <c r="M22" s="107"/>
      <c r="N22" s="108"/>
    </row>
    <row r="23" spans="2:14" ht="22.5" x14ac:dyDescent="0.2">
      <c r="B23" s="25" t="s">
        <v>15</v>
      </c>
      <c r="C23" s="26">
        <f t="shared" ref="C23:N23" si="6">C4</f>
        <v>62401.5</v>
      </c>
      <c r="D23" s="26">
        <f t="shared" si="6"/>
        <v>98457.78</v>
      </c>
      <c r="E23" s="109">
        <f t="shared" si="6"/>
        <v>0</v>
      </c>
      <c r="F23" s="109">
        <f t="shared" si="6"/>
        <v>0</v>
      </c>
      <c r="G23" s="109">
        <f t="shared" si="6"/>
        <v>0</v>
      </c>
      <c r="H23" s="109">
        <f t="shared" si="6"/>
        <v>0</v>
      </c>
      <c r="I23" s="109">
        <f t="shared" si="6"/>
        <v>0</v>
      </c>
      <c r="J23" s="109">
        <f t="shared" si="6"/>
        <v>0</v>
      </c>
      <c r="K23" s="109">
        <f t="shared" si="6"/>
        <v>0</v>
      </c>
      <c r="L23" s="109">
        <f t="shared" si="6"/>
        <v>0</v>
      </c>
      <c r="M23" s="109">
        <f t="shared" si="6"/>
        <v>0</v>
      </c>
      <c r="N23" s="110">
        <f t="shared" si="6"/>
        <v>0</v>
      </c>
    </row>
    <row r="24" spans="2:14" ht="33.75" x14ac:dyDescent="0.2">
      <c r="B24" s="9" t="s">
        <v>16</v>
      </c>
      <c r="C24" s="10">
        <f t="shared" ref="C24:N24" si="7">C5</f>
        <v>-1688.33</v>
      </c>
      <c r="D24" s="10">
        <f t="shared" si="7"/>
        <v>-3172.43</v>
      </c>
      <c r="E24" s="98">
        <f t="shared" si="7"/>
        <v>0</v>
      </c>
      <c r="F24" s="98">
        <f t="shared" si="7"/>
        <v>0</v>
      </c>
      <c r="G24" s="98">
        <f t="shared" si="7"/>
        <v>0</v>
      </c>
      <c r="H24" s="98">
        <f t="shared" si="7"/>
        <v>0</v>
      </c>
      <c r="I24" s="98">
        <f t="shared" si="7"/>
        <v>0</v>
      </c>
      <c r="J24" s="98">
        <f t="shared" si="7"/>
        <v>0</v>
      </c>
      <c r="K24" s="98">
        <f t="shared" si="7"/>
        <v>0</v>
      </c>
      <c r="L24" s="98">
        <f t="shared" si="7"/>
        <v>0</v>
      </c>
      <c r="M24" s="98">
        <f t="shared" si="7"/>
        <v>0</v>
      </c>
      <c r="N24" s="99">
        <f t="shared" si="7"/>
        <v>0</v>
      </c>
    </row>
    <row r="25" spans="2:14" ht="22.5" x14ac:dyDescent="0.2">
      <c r="B25" s="25" t="s">
        <v>17</v>
      </c>
      <c r="C25" s="26">
        <f t="shared" ref="C25:N25" si="8">C23+C24</f>
        <v>60713.17</v>
      </c>
      <c r="D25" s="26">
        <f t="shared" si="8"/>
        <v>95285.35</v>
      </c>
      <c r="E25" s="109">
        <f t="shared" si="8"/>
        <v>0</v>
      </c>
      <c r="F25" s="109">
        <f t="shared" si="8"/>
        <v>0</v>
      </c>
      <c r="G25" s="109">
        <f t="shared" si="8"/>
        <v>0</v>
      </c>
      <c r="H25" s="109">
        <f t="shared" si="8"/>
        <v>0</v>
      </c>
      <c r="I25" s="109">
        <f t="shared" si="8"/>
        <v>0</v>
      </c>
      <c r="J25" s="109">
        <f t="shared" si="8"/>
        <v>0</v>
      </c>
      <c r="K25" s="109">
        <f t="shared" si="8"/>
        <v>0</v>
      </c>
      <c r="L25" s="109">
        <f t="shared" si="8"/>
        <v>0</v>
      </c>
      <c r="M25" s="109">
        <f t="shared" si="8"/>
        <v>0</v>
      </c>
      <c r="N25" s="110">
        <f t="shared" si="8"/>
        <v>0</v>
      </c>
    </row>
    <row r="26" spans="2:14" ht="33.75" x14ac:dyDescent="0.2">
      <c r="B26" s="9" t="s">
        <v>33</v>
      </c>
      <c r="C26" s="10">
        <f t="shared" ref="C26:N26" si="9">C8</f>
        <v>-985.9</v>
      </c>
      <c r="D26" s="10">
        <f t="shared" si="9"/>
        <v>-3700</v>
      </c>
      <c r="E26" s="98">
        <f t="shared" si="9"/>
        <v>0</v>
      </c>
      <c r="F26" s="98">
        <f t="shared" si="9"/>
        <v>0</v>
      </c>
      <c r="G26" s="98">
        <f t="shared" si="9"/>
        <v>0</v>
      </c>
      <c r="H26" s="98">
        <f t="shared" si="9"/>
        <v>0</v>
      </c>
      <c r="I26" s="98">
        <f t="shared" si="9"/>
        <v>0</v>
      </c>
      <c r="J26" s="98">
        <f t="shared" si="9"/>
        <v>0</v>
      </c>
      <c r="K26" s="98">
        <f t="shared" si="9"/>
        <v>0</v>
      </c>
      <c r="L26" s="98">
        <f t="shared" si="9"/>
        <v>0</v>
      </c>
      <c r="M26" s="98">
        <f t="shared" si="9"/>
        <v>0</v>
      </c>
      <c r="N26" s="99">
        <f t="shared" si="9"/>
        <v>0</v>
      </c>
    </row>
    <row r="27" spans="2:14" x14ac:dyDescent="0.2">
      <c r="B27" s="25" t="s">
        <v>19</v>
      </c>
      <c r="C27" s="26">
        <f t="shared" ref="C27:N27" si="10">C25+C26</f>
        <v>59727.27</v>
      </c>
      <c r="D27" s="26">
        <f t="shared" si="10"/>
        <v>91585.35</v>
      </c>
      <c r="E27" s="109">
        <f t="shared" si="10"/>
        <v>0</v>
      </c>
      <c r="F27" s="109">
        <f t="shared" si="10"/>
        <v>0</v>
      </c>
      <c r="G27" s="109">
        <f t="shared" si="10"/>
        <v>0</v>
      </c>
      <c r="H27" s="109">
        <f t="shared" si="10"/>
        <v>0</v>
      </c>
      <c r="I27" s="109">
        <f t="shared" si="10"/>
        <v>0</v>
      </c>
      <c r="J27" s="109">
        <f t="shared" si="10"/>
        <v>0</v>
      </c>
      <c r="K27" s="109">
        <f t="shared" si="10"/>
        <v>0</v>
      </c>
      <c r="L27" s="109">
        <f t="shared" si="10"/>
        <v>0</v>
      </c>
      <c r="M27" s="109">
        <f t="shared" si="10"/>
        <v>0</v>
      </c>
      <c r="N27" s="110">
        <f t="shared" si="10"/>
        <v>0</v>
      </c>
    </row>
    <row r="28" spans="2:14" ht="22.5" x14ac:dyDescent="0.2">
      <c r="B28" s="9" t="s">
        <v>20</v>
      </c>
      <c r="C28" s="10">
        <f t="shared" ref="C28:N28" si="11">SUM(C29:C30)</f>
        <v>-17285.43</v>
      </c>
      <c r="D28" s="10">
        <f t="shared" si="11"/>
        <v>-19654.75</v>
      </c>
      <c r="E28" s="98">
        <f t="shared" si="11"/>
        <v>0</v>
      </c>
      <c r="F28" s="98">
        <f t="shared" si="11"/>
        <v>0</v>
      </c>
      <c r="G28" s="98">
        <f t="shared" si="11"/>
        <v>0</v>
      </c>
      <c r="H28" s="98">
        <f t="shared" si="11"/>
        <v>0</v>
      </c>
      <c r="I28" s="98">
        <f t="shared" si="11"/>
        <v>0</v>
      </c>
      <c r="J28" s="98">
        <f t="shared" si="11"/>
        <v>0</v>
      </c>
      <c r="K28" s="98">
        <f t="shared" si="11"/>
        <v>0</v>
      </c>
      <c r="L28" s="98">
        <f t="shared" si="11"/>
        <v>0</v>
      </c>
      <c r="M28" s="98">
        <f t="shared" si="11"/>
        <v>0</v>
      </c>
      <c r="N28" s="99">
        <f t="shared" si="11"/>
        <v>0</v>
      </c>
    </row>
    <row r="29" spans="2:14" ht="22.5" x14ac:dyDescent="0.2">
      <c r="B29" s="9" t="s">
        <v>21</v>
      </c>
      <c r="C29" s="10">
        <f t="shared" ref="C29:N29" si="12">C11</f>
        <v>0</v>
      </c>
      <c r="D29" s="10">
        <f t="shared" si="12"/>
        <v>0</v>
      </c>
      <c r="E29" s="98">
        <f t="shared" si="12"/>
        <v>0</v>
      </c>
      <c r="F29" s="98">
        <f t="shared" si="12"/>
        <v>0</v>
      </c>
      <c r="G29" s="98">
        <f t="shared" si="12"/>
        <v>0</v>
      </c>
      <c r="H29" s="98">
        <f t="shared" si="12"/>
        <v>0</v>
      </c>
      <c r="I29" s="98">
        <f t="shared" si="12"/>
        <v>0</v>
      </c>
      <c r="J29" s="98">
        <f t="shared" si="12"/>
        <v>0</v>
      </c>
      <c r="K29" s="98">
        <f t="shared" si="12"/>
        <v>0</v>
      </c>
      <c r="L29" s="98">
        <f t="shared" si="12"/>
        <v>0</v>
      </c>
      <c r="M29" s="98">
        <f t="shared" si="12"/>
        <v>0</v>
      </c>
      <c r="N29" s="99">
        <f t="shared" si="12"/>
        <v>0</v>
      </c>
    </row>
    <row r="30" spans="2:14" ht="22.5" x14ac:dyDescent="0.2">
      <c r="B30" s="9" t="s">
        <v>22</v>
      </c>
      <c r="C30" s="10">
        <f t="shared" ref="C30:N30" si="13">C12</f>
        <v>-17285.43</v>
      </c>
      <c r="D30" s="10">
        <f t="shared" si="13"/>
        <v>-19654.75</v>
      </c>
      <c r="E30" s="98">
        <f t="shared" si="13"/>
        <v>0</v>
      </c>
      <c r="F30" s="98">
        <f t="shared" si="13"/>
        <v>0</v>
      </c>
      <c r="G30" s="98">
        <f t="shared" si="13"/>
        <v>0</v>
      </c>
      <c r="H30" s="98">
        <f t="shared" si="13"/>
        <v>0</v>
      </c>
      <c r="I30" s="98">
        <f t="shared" si="13"/>
        <v>0</v>
      </c>
      <c r="J30" s="98">
        <f t="shared" si="13"/>
        <v>0</v>
      </c>
      <c r="K30" s="98">
        <f t="shared" si="13"/>
        <v>0</v>
      </c>
      <c r="L30" s="98">
        <f t="shared" si="13"/>
        <v>0</v>
      </c>
      <c r="M30" s="98">
        <f t="shared" si="13"/>
        <v>0</v>
      </c>
      <c r="N30" s="99">
        <f t="shared" si="13"/>
        <v>0</v>
      </c>
    </row>
    <row r="31" spans="2:14" x14ac:dyDescent="0.2">
      <c r="B31" s="28" t="s">
        <v>34</v>
      </c>
      <c r="C31" s="29">
        <f t="shared" ref="C31:N31" si="14">C27+C28</f>
        <v>42441.84</v>
      </c>
      <c r="D31" s="29">
        <f t="shared" si="14"/>
        <v>71930.600000000006</v>
      </c>
      <c r="E31" s="111">
        <f t="shared" si="14"/>
        <v>0</v>
      </c>
      <c r="F31" s="111">
        <f t="shared" si="14"/>
        <v>0</v>
      </c>
      <c r="G31" s="111">
        <f t="shared" si="14"/>
        <v>0</v>
      </c>
      <c r="H31" s="111">
        <f t="shared" si="14"/>
        <v>0</v>
      </c>
      <c r="I31" s="111">
        <f t="shared" si="14"/>
        <v>0</v>
      </c>
      <c r="J31" s="111">
        <f t="shared" si="14"/>
        <v>0</v>
      </c>
      <c r="K31" s="111">
        <f t="shared" si="14"/>
        <v>0</v>
      </c>
      <c r="L31" s="111">
        <f t="shared" si="14"/>
        <v>0</v>
      </c>
      <c r="M31" s="111">
        <f t="shared" si="14"/>
        <v>0</v>
      </c>
      <c r="N31" s="112">
        <f t="shared" si="14"/>
        <v>0</v>
      </c>
    </row>
    <row r="32" spans="2:14" x14ac:dyDescent="0.2">
      <c r="B32" s="9" t="s">
        <v>35</v>
      </c>
      <c r="C32" s="10">
        <v>5170.21</v>
      </c>
      <c r="D32" s="10">
        <v>5170.07</v>
      </c>
      <c r="E32" s="98">
        <v>0</v>
      </c>
      <c r="F32" s="98">
        <v>0</v>
      </c>
      <c r="G32" s="98">
        <v>0</v>
      </c>
      <c r="H32" s="98">
        <v>0</v>
      </c>
      <c r="I32" s="98">
        <v>0</v>
      </c>
      <c r="J32" s="98">
        <v>0</v>
      </c>
      <c r="K32" s="98">
        <v>0</v>
      </c>
      <c r="L32" s="98">
        <v>0</v>
      </c>
      <c r="M32" s="98">
        <v>0</v>
      </c>
      <c r="N32" s="99">
        <v>0</v>
      </c>
    </row>
    <row r="33" spans="2:14" x14ac:dyDescent="0.2">
      <c r="B33" s="28" t="s">
        <v>36</v>
      </c>
      <c r="C33" s="29">
        <f t="shared" ref="C33:N33" si="15">C31+C32</f>
        <v>47612.049999999996</v>
      </c>
      <c r="D33" s="29">
        <f t="shared" si="15"/>
        <v>77100.670000000013</v>
      </c>
      <c r="E33" s="111">
        <f t="shared" si="15"/>
        <v>0</v>
      </c>
      <c r="F33" s="111">
        <f t="shared" si="15"/>
        <v>0</v>
      </c>
      <c r="G33" s="111">
        <f t="shared" si="15"/>
        <v>0</v>
      </c>
      <c r="H33" s="111">
        <f t="shared" si="15"/>
        <v>0</v>
      </c>
      <c r="I33" s="111">
        <f t="shared" si="15"/>
        <v>0</v>
      </c>
      <c r="J33" s="111">
        <f t="shared" si="15"/>
        <v>0</v>
      </c>
      <c r="K33" s="111">
        <f t="shared" si="15"/>
        <v>0</v>
      </c>
      <c r="L33" s="111">
        <f t="shared" si="15"/>
        <v>0</v>
      </c>
      <c r="M33" s="111">
        <f t="shared" si="15"/>
        <v>0</v>
      </c>
      <c r="N33" s="112">
        <f t="shared" si="15"/>
        <v>0</v>
      </c>
    </row>
    <row r="34" spans="2:14" x14ac:dyDescent="0.2">
      <c r="B34" s="31" t="s">
        <v>37</v>
      </c>
      <c r="C34" s="32" t="s">
        <v>38</v>
      </c>
      <c r="D34" s="33">
        <f t="shared" ref="D34:N34" si="16">D33/C33-1</f>
        <v>0.6193520337813645</v>
      </c>
      <c r="E34" s="113">
        <f t="shared" si="16"/>
        <v>-1</v>
      </c>
      <c r="F34" s="113" t="e">
        <f t="shared" si="16"/>
        <v>#DIV/0!</v>
      </c>
      <c r="G34" s="113" t="e">
        <f t="shared" si="16"/>
        <v>#DIV/0!</v>
      </c>
      <c r="H34" s="113" t="e">
        <f t="shared" si="16"/>
        <v>#DIV/0!</v>
      </c>
      <c r="I34" s="113" t="e">
        <f t="shared" si="16"/>
        <v>#DIV/0!</v>
      </c>
      <c r="J34" s="113" t="e">
        <f t="shared" si="16"/>
        <v>#DIV/0!</v>
      </c>
      <c r="K34" s="113" t="e">
        <f t="shared" si="16"/>
        <v>#DIV/0!</v>
      </c>
      <c r="L34" s="113" t="e">
        <f t="shared" si="16"/>
        <v>#DIV/0!</v>
      </c>
      <c r="M34" s="113" t="e">
        <f t="shared" si="16"/>
        <v>#DIV/0!</v>
      </c>
      <c r="N34" s="114" t="e">
        <f t="shared" si="16"/>
        <v>#DIV/0!</v>
      </c>
    </row>
    <row r="35" spans="2:14" x14ac:dyDescent="0.2">
      <c r="B35" s="31" t="s">
        <v>39</v>
      </c>
      <c r="C35" s="32"/>
      <c r="D35" s="35">
        <f>1*(D34/100+1)</f>
        <v>1.0061935203378136</v>
      </c>
      <c r="E35" s="115">
        <f t="shared" ref="E35:N35" si="17">D35*(E34/100+1)</f>
        <v>0.99613158513443545</v>
      </c>
      <c r="F35" s="115" t="e">
        <f t="shared" si="17"/>
        <v>#DIV/0!</v>
      </c>
      <c r="G35" s="115" t="e">
        <f t="shared" si="17"/>
        <v>#DIV/0!</v>
      </c>
      <c r="H35" s="115" t="e">
        <f t="shared" si="17"/>
        <v>#DIV/0!</v>
      </c>
      <c r="I35" s="115" t="e">
        <f t="shared" si="17"/>
        <v>#DIV/0!</v>
      </c>
      <c r="J35" s="115" t="e">
        <f t="shared" si="17"/>
        <v>#DIV/0!</v>
      </c>
      <c r="K35" s="115" t="e">
        <f t="shared" si="17"/>
        <v>#DIV/0!</v>
      </c>
      <c r="L35" s="115" t="e">
        <f t="shared" si="17"/>
        <v>#DIV/0!</v>
      </c>
      <c r="M35" s="115" t="e">
        <f t="shared" si="17"/>
        <v>#DIV/0!</v>
      </c>
      <c r="N35" s="116" t="e">
        <f t="shared" si="17"/>
        <v>#DIV/0!</v>
      </c>
    </row>
    <row r="36" spans="2:14" ht="13.5" thickBot="1" x14ac:dyDescent="0.25">
      <c r="B36" s="37" t="s">
        <v>39</v>
      </c>
      <c r="C36" s="38" t="s">
        <v>38</v>
      </c>
      <c r="D36" s="39">
        <f t="shared" ref="D36:N36" si="18">D35-1</f>
        <v>6.1935203378136183E-3</v>
      </c>
      <c r="E36" s="117">
        <f t="shared" si="18"/>
        <v>-3.8684148655645512E-3</v>
      </c>
      <c r="F36" s="117" t="e">
        <f t="shared" si="18"/>
        <v>#DIV/0!</v>
      </c>
      <c r="G36" s="117" t="e">
        <f t="shared" si="18"/>
        <v>#DIV/0!</v>
      </c>
      <c r="H36" s="117" t="e">
        <f t="shared" si="18"/>
        <v>#DIV/0!</v>
      </c>
      <c r="I36" s="117" t="e">
        <f t="shared" si="18"/>
        <v>#DIV/0!</v>
      </c>
      <c r="J36" s="117" t="e">
        <f t="shared" si="18"/>
        <v>#DIV/0!</v>
      </c>
      <c r="K36" s="117" t="e">
        <f t="shared" si="18"/>
        <v>#DIV/0!</v>
      </c>
      <c r="L36" s="117" t="e">
        <f t="shared" si="18"/>
        <v>#DIV/0!</v>
      </c>
      <c r="M36" s="117" t="e">
        <f t="shared" si="18"/>
        <v>#DIV/0!</v>
      </c>
      <c r="N36" s="118" t="e">
        <f t="shared" si="18"/>
        <v>#DIV/0!</v>
      </c>
    </row>
  </sheetData>
  <mergeCells count="2">
    <mergeCell ref="C2:N2"/>
    <mergeCell ref="B1:N1"/>
  </mergeCells>
  <phoneticPr fontId="0" type="noConversion"/>
  <printOptions horizontalCentered="1"/>
  <pageMargins left="7.874015748031496E-2" right="7.874015748031496E-2" top="0.61" bottom="7.874015748031496E-2" header="7.874015748031496E-2" footer="3.937007874015748E-2"/>
  <pageSetup paperSize="9" scale="75" orientation="portrait" useFirstPageNumber="1" horizontalDpi="300" verticalDpi="300" r:id="rId1"/>
  <headerFooter alignWithMargins="0">
    <oddHeader>&amp;L&amp;"Times New Roman,Negrito"&amp;12
WONDERFUL PROPAGANDA LTDA</oddHead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N36"/>
  <sheetViews>
    <sheetView topLeftCell="B19" workbookViewId="0">
      <selection activeCell="C31" sqref="C31"/>
    </sheetView>
  </sheetViews>
  <sheetFormatPr defaultColWidth="11.5703125" defaultRowHeight="12.75" x14ac:dyDescent="0.2"/>
  <cols>
    <col min="1" max="1" width="3" style="2" customWidth="1"/>
    <col min="2" max="2" width="18.42578125" style="2" bestFit="1" customWidth="1"/>
    <col min="3" max="3" width="9" style="2" bestFit="1" customWidth="1"/>
    <col min="4" max="6" width="9.28515625" style="2" bestFit="1" customWidth="1"/>
    <col min="7" max="13" width="9.85546875" style="2" bestFit="1" customWidth="1"/>
    <col min="14" max="14" width="10.85546875" style="2" customWidth="1"/>
    <col min="15" max="16384" width="11.5703125" style="2"/>
  </cols>
  <sheetData>
    <row r="1" spans="2:14" ht="25.5" customHeight="1" thickBot="1" x14ac:dyDescent="0.25">
      <c r="B1" s="189" t="s">
        <v>43</v>
      </c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1"/>
    </row>
    <row r="2" spans="2:14" x14ac:dyDescent="0.2">
      <c r="B2" s="1" t="s">
        <v>0</v>
      </c>
      <c r="C2" s="188" t="s">
        <v>1</v>
      </c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</row>
    <row r="3" spans="2:14" x14ac:dyDescent="0.2">
      <c r="B3" s="3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5" t="s">
        <v>14</v>
      </c>
    </row>
    <row r="4" spans="2:14" ht="21" x14ac:dyDescent="0.2">
      <c r="B4" s="121" t="s">
        <v>15</v>
      </c>
      <c r="C4" s="122">
        <v>62401.5</v>
      </c>
      <c r="D4" s="122">
        <v>160859.28</v>
      </c>
      <c r="E4" s="122">
        <v>264349.03000000003</v>
      </c>
      <c r="F4" s="122">
        <v>324992.25</v>
      </c>
      <c r="G4" s="127">
        <v>435592.9</v>
      </c>
      <c r="H4" s="127">
        <v>516048.66</v>
      </c>
      <c r="I4" s="127">
        <v>573992.76</v>
      </c>
      <c r="J4" s="127">
        <v>645236.6</v>
      </c>
      <c r="K4" s="127">
        <v>717389.05</v>
      </c>
      <c r="L4" s="127">
        <v>810827.56</v>
      </c>
      <c r="M4" s="127">
        <v>891378.47</v>
      </c>
      <c r="N4" s="128">
        <v>998456.51</v>
      </c>
    </row>
    <row r="5" spans="2:14" ht="33.75" x14ac:dyDescent="0.2">
      <c r="B5" s="9" t="s">
        <v>16</v>
      </c>
      <c r="C5" s="10">
        <v>-1688.33</v>
      </c>
      <c r="D5" s="10">
        <v>-4860.76</v>
      </c>
      <c r="E5" s="10">
        <v>-30204.16</v>
      </c>
      <c r="F5" s="10">
        <v>-34187.35</v>
      </c>
      <c r="G5" s="10">
        <v>-36226.120000000003</v>
      </c>
      <c r="H5" s="10">
        <v>-65110.77</v>
      </c>
      <c r="I5" s="10">
        <v>-69756.7</v>
      </c>
      <c r="J5" s="10">
        <v>-73056.42</v>
      </c>
      <c r="K5" s="10">
        <v>-92423.16</v>
      </c>
      <c r="L5" s="10">
        <v>-97703.97</v>
      </c>
      <c r="M5" s="10">
        <v>-100720.62</v>
      </c>
      <c r="N5" s="11">
        <v>-125147.67</v>
      </c>
    </row>
    <row r="6" spans="2:14" x14ac:dyDescent="0.2">
      <c r="B6" s="9" t="s">
        <v>40</v>
      </c>
      <c r="C6" s="10">
        <v>3122.74</v>
      </c>
      <c r="D6" s="10">
        <v>5979.92</v>
      </c>
      <c r="E6" s="10">
        <v>9703.67</v>
      </c>
      <c r="F6" s="10">
        <v>13223.72</v>
      </c>
      <c r="G6" s="10">
        <v>17581.2</v>
      </c>
      <c r="H6" s="10">
        <v>21960.87</v>
      </c>
      <c r="I6" s="10">
        <v>27092.82</v>
      </c>
      <c r="J6" s="10">
        <v>32944.69</v>
      </c>
      <c r="K6" s="10">
        <v>38292.559999999998</v>
      </c>
      <c r="L6" s="10">
        <v>43589.14</v>
      </c>
      <c r="M6" s="10">
        <v>49053.83</v>
      </c>
      <c r="N6" s="11">
        <v>54972.75</v>
      </c>
    </row>
    <row r="7" spans="2:14" ht="21" x14ac:dyDescent="0.2">
      <c r="B7" s="121" t="s">
        <v>17</v>
      </c>
      <c r="C7" s="122">
        <f t="shared" ref="C7:N7" si="0">SUM(C4:C6)</f>
        <v>63835.909999999996</v>
      </c>
      <c r="D7" s="122">
        <f t="shared" si="0"/>
        <v>161978.44</v>
      </c>
      <c r="E7" s="122">
        <f t="shared" si="0"/>
        <v>243848.54000000004</v>
      </c>
      <c r="F7" s="122">
        <f t="shared" si="0"/>
        <v>304028.62</v>
      </c>
      <c r="G7" s="127">
        <f t="shared" si="0"/>
        <v>416947.98000000004</v>
      </c>
      <c r="H7" s="127">
        <f t="shared" si="0"/>
        <v>472898.75999999995</v>
      </c>
      <c r="I7" s="127">
        <f t="shared" si="0"/>
        <v>531328.88</v>
      </c>
      <c r="J7" s="127">
        <f t="shared" si="0"/>
        <v>605124.86999999988</v>
      </c>
      <c r="K7" s="127">
        <f t="shared" si="0"/>
        <v>663258.44999999995</v>
      </c>
      <c r="L7" s="127">
        <f t="shared" si="0"/>
        <v>756712.7300000001</v>
      </c>
      <c r="M7" s="127">
        <f t="shared" si="0"/>
        <v>839711.67999999993</v>
      </c>
      <c r="N7" s="128">
        <f t="shared" si="0"/>
        <v>928281.59</v>
      </c>
    </row>
    <row r="8" spans="2:14" ht="33.75" x14ac:dyDescent="0.2">
      <c r="B8" s="9" t="s">
        <v>18</v>
      </c>
      <c r="C8" s="10">
        <v>-985.9</v>
      </c>
      <c r="D8" s="10">
        <v>-3700</v>
      </c>
      <c r="E8" s="10">
        <f>-6776.8</f>
        <v>-6776.8</v>
      </c>
      <c r="F8" s="10">
        <v>-7410.67</v>
      </c>
      <c r="G8" s="10">
        <v>-13631.17</v>
      </c>
      <c r="H8" s="10">
        <v>-29511.18</v>
      </c>
      <c r="I8" s="10">
        <v>-29511.18</v>
      </c>
      <c r="J8" s="10">
        <v>-31611.18</v>
      </c>
      <c r="K8" s="10">
        <v>-39121.18</v>
      </c>
      <c r="L8" s="10">
        <v>-44587.78</v>
      </c>
      <c r="M8" s="10">
        <v>-47329.39</v>
      </c>
      <c r="N8" s="11">
        <v>-47708.39</v>
      </c>
    </row>
    <row r="9" spans="2:14" x14ac:dyDescent="0.2">
      <c r="B9" s="121" t="s">
        <v>19</v>
      </c>
      <c r="C9" s="122">
        <f t="shared" ref="C9:N9" si="1">C7+C8</f>
        <v>62850.009999999995</v>
      </c>
      <c r="D9" s="122">
        <f t="shared" si="1"/>
        <v>158278.44</v>
      </c>
      <c r="E9" s="122">
        <f t="shared" si="1"/>
        <v>237071.74000000005</v>
      </c>
      <c r="F9" s="122">
        <f t="shared" si="1"/>
        <v>296617.95</v>
      </c>
      <c r="G9" s="127">
        <f t="shared" si="1"/>
        <v>403316.81000000006</v>
      </c>
      <c r="H9" s="127">
        <f t="shared" si="1"/>
        <v>443387.57999999996</v>
      </c>
      <c r="I9" s="127">
        <f t="shared" si="1"/>
        <v>501817.7</v>
      </c>
      <c r="J9" s="127">
        <f t="shared" si="1"/>
        <v>573513.68999999983</v>
      </c>
      <c r="K9" s="127">
        <f t="shared" si="1"/>
        <v>624137.2699999999</v>
      </c>
      <c r="L9" s="127">
        <f t="shared" si="1"/>
        <v>712124.95000000007</v>
      </c>
      <c r="M9" s="127">
        <f t="shared" si="1"/>
        <v>792382.28999999992</v>
      </c>
      <c r="N9" s="128">
        <f t="shared" si="1"/>
        <v>880573.2</v>
      </c>
    </row>
    <row r="10" spans="2:14" ht="22.5" x14ac:dyDescent="0.2">
      <c r="B10" s="119" t="s">
        <v>20</v>
      </c>
      <c r="C10" s="120">
        <f t="shared" ref="C10:N10" si="2">SUM(C11:C14)</f>
        <v>-17296.920000000002</v>
      </c>
      <c r="D10" s="120">
        <f t="shared" si="2"/>
        <v>-37947.310000000005</v>
      </c>
      <c r="E10" s="120">
        <f t="shared" si="2"/>
        <v>-59021.04</v>
      </c>
      <c r="F10" s="10">
        <f t="shared" si="2"/>
        <v>-85516.33</v>
      </c>
      <c r="G10" s="10">
        <f t="shared" si="2"/>
        <v>-107395.68000000001</v>
      </c>
      <c r="H10" s="10">
        <f t="shared" si="2"/>
        <v>-129859.02</v>
      </c>
      <c r="I10" s="10">
        <f t="shared" si="2"/>
        <v>-149217.66999999998</v>
      </c>
      <c r="J10" s="10">
        <f t="shared" si="2"/>
        <v>-168300.78</v>
      </c>
      <c r="K10" s="10">
        <f t="shared" si="2"/>
        <v>-193087.19999999998</v>
      </c>
      <c r="L10" s="10">
        <f t="shared" si="2"/>
        <v>-220579.84999999998</v>
      </c>
      <c r="M10" s="10">
        <f t="shared" si="2"/>
        <v>-246270.56999999998</v>
      </c>
      <c r="N10" s="10">
        <f t="shared" si="2"/>
        <v>-274942.25</v>
      </c>
    </row>
    <row r="11" spans="2:14" ht="22.5" x14ac:dyDescent="0.2">
      <c r="B11" s="9" t="s">
        <v>21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1">
        <v>0</v>
      </c>
    </row>
    <row r="12" spans="2:14" ht="22.5" x14ac:dyDescent="0.2">
      <c r="B12" s="9" t="s">
        <v>22</v>
      </c>
      <c r="C12" s="10">
        <f>-1779.99-9886.96-1040.03-4578.45</f>
        <v>-17285.43</v>
      </c>
      <c r="D12" s="10">
        <f>-5979.53-1300.91-6256.08-19796.36-4586.41</f>
        <v>-37919.290000000008</v>
      </c>
      <c r="E12" s="10">
        <f>-10515.93-2289.16-10016.47-30748.07-5387.26</f>
        <v>-58956.89</v>
      </c>
      <c r="F12" s="10">
        <f>-15609.48-3323.27-13432.5-39651.2-9347.46</f>
        <v>-81363.91</v>
      </c>
      <c r="G12" s="10">
        <f>-20106.16-4357.38-16537.81-49849.76-12368.56</f>
        <v>-103219.67000000001</v>
      </c>
      <c r="H12" s="10">
        <f>-24467.11-5372.28-20128.64-63018.04-12690.11</f>
        <v>-125676.18000000001</v>
      </c>
      <c r="I12" s="10">
        <f>-29046.99-6481.76-23542.5-73056.29-12883.85</f>
        <v>-145011.38999999998</v>
      </c>
      <c r="J12" s="10">
        <f>-33156.87-7628.93-26995.64-83359.85-12949.52</f>
        <v>-164090.81</v>
      </c>
      <c r="K12" s="10">
        <f>-39896.96-9335.31-31018.47-95511.19-13103.56</f>
        <v>-188865.49</v>
      </c>
      <c r="L12" s="10">
        <f>-47264.07-11278.01-39811.67-104516.9-13462.02</f>
        <v>-216332.66999999998</v>
      </c>
      <c r="M12" s="10">
        <f>-53625.3-12910.01-43439.97-114261.01-17779.66</f>
        <v>-242015.94999999998</v>
      </c>
      <c r="N12" s="10">
        <f>-64232.91-16092.5-45912.13-126556.67-17885.98</f>
        <v>-270680.19</v>
      </c>
    </row>
    <row r="13" spans="2:14" ht="22.5" x14ac:dyDescent="0.2">
      <c r="B13" s="9" t="s">
        <v>23</v>
      </c>
      <c r="C13" s="10">
        <v>-11.49</v>
      </c>
      <c r="D13" s="10">
        <v>-28.02</v>
      </c>
      <c r="E13" s="10">
        <v>-64.150000000000006</v>
      </c>
      <c r="F13" s="10">
        <v>-4152.42</v>
      </c>
      <c r="G13" s="10">
        <v>-4176.01</v>
      </c>
      <c r="H13" s="10">
        <v>-4182.84</v>
      </c>
      <c r="I13" s="10">
        <v>-4206.28</v>
      </c>
      <c r="J13" s="10">
        <v>-4209.97</v>
      </c>
      <c r="K13" s="10">
        <v>-4221.71</v>
      </c>
      <c r="L13" s="10">
        <v>-4247.18</v>
      </c>
      <c r="M13" s="10">
        <v>-4254.62</v>
      </c>
      <c r="N13" s="11">
        <v>-4262.0600000000004</v>
      </c>
    </row>
    <row r="14" spans="2:14" x14ac:dyDescent="0.2">
      <c r="B14" s="9" t="s">
        <v>24</v>
      </c>
      <c r="C14" s="12" t="s">
        <v>25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3"/>
    </row>
    <row r="15" spans="2:14" x14ac:dyDescent="0.2">
      <c r="B15" s="9" t="s">
        <v>26</v>
      </c>
      <c r="C15" s="10">
        <f t="shared" ref="C15:N15" si="3">C9+C10</f>
        <v>45553.09</v>
      </c>
      <c r="D15" s="10">
        <f t="shared" si="3"/>
        <v>120331.13</v>
      </c>
      <c r="E15" s="10">
        <f t="shared" si="3"/>
        <v>178050.70000000004</v>
      </c>
      <c r="F15" s="10">
        <f t="shared" si="3"/>
        <v>211101.62</v>
      </c>
      <c r="G15" s="10">
        <f t="shared" si="3"/>
        <v>295921.13000000006</v>
      </c>
      <c r="H15" s="10">
        <f t="shared" si="3"/>
        <v>313528.55999999994</v>
      </c>
      <c r="I15" s="10">
        <f t="shared" si="3"/>
        <v>352600.03</v>
      </c>
      <c r="J15" s="10">
        <f t="shared" si="3"/>
        <v>405212.9099999998</v>
      </c>
      <c r="K15" s="10">
        <f t="shared" si="3"/>
        <v>431050.06999999995</v>
      </c>
      <c r="L15" s="10">
        <f t="shared" si="3"/>
        <v>491545.10000000009</v>
      </c>
      <c r="M15" s="10">
        <f t="shared" si="3"/>
        <v>546111.72</v>
      </c>
      <c r="N15" s="11">
        <f t="shared" si="3"/>
        <v>605630.94999999995</v>
      </c>
    </row>
    <row r="16" spans="2:14" ht="33.75" x14ac:dyDescent="0.2">
      <c r="B16" s="9" t="s">
        <v>27</v>
      </c>
      <c r="C16" s="10">
        <f>50.4-1945.94</f>
        <v>-1895.54</v>
      </c>
      <c r="D16" s="10">
        <f>99.87-4578.83</f>
        <v>-4478.96</v>
      </c>
      <c r="E16" s="10">
        <f>157.6</f>
        <v>157.6</v>
      </c>
      <c r="F16" s="10">
        <v>215.34</v>
      </c>
      <c r="G16" s="10">
        <f>272.07</f>
        <v>272.07</v>
      </c>
      <c r="H16" s="10">
        <v>331.58</v>
      </c>
      <c r="I16" s="10">
        <v>381.55</v>
      </c>
      <c r="J16" s="10">
        <v>434.03</v>
      </c>
      <c r="K16" s="10">
        <v>503.7</v>
      </c>
      <c r="L16" s="10">
        <v>569.78</v>
      </c>
      <c r="M16" s="10">
        <v>633.4</v>
      </c>
      <c r="N16" s="11">
        <v>683.93</v>
      </c>
    </row>
    <row r="17" spans="2:14" ht="21" x14ac:dyDescent="0.2">
      <c r="B17" s="121" t="s">
        <v>28</v>
      </c>
      <c r="C17" s="122">
        <f t="shared" ref="C17:N17" si="4">C15+C16</f>
        <v>43657.549999999996</v>
      </c>
      <c r="D17" s="122">
        <f t="shared" si="4"/>
        <v>115852.17</v>
      </c>
      <c r="E17" s="122">
        <f t="shared" si="4"/>
        <v>178208.30000000005</v>
      </c>
      <c r="F17" s="122">
        <f t="shared" si="4"/>
        <v>211316.96</v>
      </c>
      <c r="G17" s="127">
        <f t="shared" si="4"/>
        <v>296193.20000000007</v>
      </c>
      <c r="H17" s="127">
        <f t="shared" si="4"/>
        <v>313860.13999999996</v>
      </c>
      <c r="I17" s="127">
        <f t="shared" si="4"/>
        <v>352981.58</v>
      </c>
      <c r="J17" s="127">
        <f t="shared" si="4"/>
        <v>405646.93999999983</v>
      </c>
      <c r="K17" s="127">
        <f t="shared" si="4"/>
        <v>431553.76999999996</v>
      </c>
      <c r="L17" s="127">
        <f t="shared" si="4"/>
        <v>492114.88000000012</v>
      </c>
      <c r="M17" s="127">
        <f t="shared" si="4"/>
        <v>546745.12</v>
      </c>
      <c r="N17" s="128">
        <f t="shared" si="4"/>
        <v>606314.88</v>
      </c>
    </row>
    <row r="18" spans="2:14" x14ac:dyDescent="0.2">
      <c r="B18" s="9" t="s">
        <v>29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/>
      <c r="M18" s="10"/>
      <c r="N18" s="11"/>
    </row>
    <row r="19" spans="2:14" x14ac:dyDescent="0.2">
      <c r="B19" s="121" t="s">
        <v>30</v>
      </c>
      <c r="C19" s="122">
        <f t="shared" ref="C19:N19" si="5">C17+C18</f>
        <v>43657.549999999996</v>
      </c>
      <c r="D19" s="122">
        <f t="shared" si="5"/>
        <v>115852.17</v>
      </c>
      <c r="E19" s="122">
        <f t="shared" si="5"/>
        <v>178208.30000000005</v>
      </c>
      <c r="F19" s="122">
        <f t="shared" si="5"/>
        <v>211316.96</v>
      </c>
      <c r="G19" s="127">
        <f t="shared" si="5"/>
        <v>296193.20000000007</v>
      </c>
      <c r="H19" s="127">
        <f t="shared" si="5"/>
        <v>313860.13999999996</v>
      </c>
      <c r="I19" s="127">
        <f t="shared" si="5"/>
        <v>352981.58</v>
      </c>
      <c r="J19" s="127">
        <f t="shared" si="5"/>
        <v>405646.93999999983</v>
      </c>
      <c r="K19" s="127">
        <f t="shared" si="5"/>
        <v>431553.76999999996</v>
      </c>
      <c r="L19" s="10">
        <f t="shared" si="5"/>
        <v>492114.88000000012</v>
      </c>
      <c r="M19" s="127">
        <f t="shared" si="5"/>
        <v>546745.12</v>
      </c>
      <c r="N19" s="11">
        <f t="shared" si="5"/>
        <v>606314.88</v>
      </c>
    </row>
    <row r="20" spans="2:14" x14ac:dyDescent="0.2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8"/>
    </row>
    <row r="21" spans="2:14" ht="31.5" x14ac:dyDescent="0.2">
      <c r="B21" s="19" t="s">
        <v>31</v>
      </c>
      <c r="C21" s="20" t="s">
        <v>32</v>
      </c>
      <c r="D21" s="20" t="s">
        <v>32</v>
      </c>
      <c r="E21" s="20" t="s">
        <v>32</v>
      </c>
      <c r="F21" s="20" t="s">
        <v>32</v>
      </c>
      <c r="G21" s="20" t="s">
        <v>32</v>
      </c>
      <c r="H21" s="20" t="s">
        <v>32</v>
      </c>
      <c r="I21" s="20" t="s">
        <v>32</v>
      </c>
      <c r="J21" s="20" t="s">
        <v>32</v>
      </c>
      <c r="K21" s="20" t="s">
        <v>32</v>
      </c>
      <c r="L21" s="20" t="s">
        <v>32</v>
      </c>
      <c r="M21" s="20" t="s">
        <v>32</v>
      </c>
      <c r="N21" s="21" t="s">
        <v>32</v>
      </c>
    </row>
    <row r="22" spans="2:14" x14ac:dyDescent="0.2">
      <c r="B22" s="22" t="str">
        <f>B3</f>
        <v>Empresa:</v>
      </c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4"/>
    </row>
    <row r="23" spans="2:14" ht="21" x14ac:dyDescent="0.2">
      <c r="B23" s="123" t="s">
        <v>15</v>
      </c>
      <c r="C23" s="124">
        <f t="shared" ref="C23:N24" si="6">C4</f>
        <v>62401.5</v>
      </c>
      <c r="D23" s="124">
        <f t="shared" si="6"/>
        <v>160859.28</v>
      </c>
      <c r="E23" s="124">
        <f t="shared" si="6"/>
        <v>264349.03000000003</v>
      </c>
      <c r="F23" s="124">
        <f t="shared" si="6"/>
        <v>324992.25</v>
      </c>
      <c r="G23" s="26">
        <f t="shared" si="6"/>
        <v>435592.9</v>
      </c>
      <c r="H23" s="26">
        <f t="shared" si="6"/>
        <v>516048.66</v>
      </c>
      <c r="I23" s="26">
        <f t="shared" si="6"/>
        <v>573992.76</v>
      </c>
      <c r="J23" s="26">
        <f t="shared" si="6"/>
        <v>645236.6</v>
      </c>
      <c r="K23" s="26">
        <f t="shared" si="6"/>
        <v>717389.05</v>
      </c>
      <c r="L23" s="26">
        <f t="shared" si="6"/>
        <v>810827.56</v>
      </c>
      <c r="M23" s="26">
        <f t="shared" si="6"/>
        <v>891378.47</v>
      </c>
      <c r="N23" s="27">
        <f t="shared" si="6"/>
        <v>998456.51</v>
      </c>
    </row>
    <row r="24" spans="2:14" ht="33.75" x14ac:dyDescent="0.2">
      <c r="B24" s="9" t="s">
        <v>16</v>
      </c>
      <c r="C24" s="10">
        <f t="shared" si="6"/>
        <v>-1688.33</v>
      </c>
      <c r="D24" s="10">
        <f t="shared" si="6"/>
        <v>-4860.76</v>
      </c>
      <c r="E24" s="10">
        <f t="shared" si="6"/>
        <v>-30204.16</v>
      </c>
      <c r="F24" s="10">
        <f t="shared" si="6"/>
        <v>-34187.35</v>
      </c>
      <c r="G24" s="10">
        <f t="shared" si="6"/>
        <v>-36226.120000000003</v>
      </c>
      <c r="H24" s="10">
        <f t="shared" si="6"/>
        <v>-65110.77</v>
      </c>
      <c r="I24" s="10">
        <f t="shared" si="6"/>
        <v>-69756.7</v>
      </c>
      <c r="J24" s="10">
        <f t="shared" si="6"/>
        <v>-73056.42</v>
      </c>
      <c r="K24" s="10">
        <f t="shared" si="6"/>
        <v>-92423.16</v>
      </c>
      <c r="L24" s="10">
        <f t="shared" si="6"/>
        <v>-97703.97</v>
      </c>
      <c r="M24" s="10">
        <f t="shared" si="6"/>
        <v>-100720.62</v>
      </c>
      <c r="N24" s="11">
        <f t="shared" si="6"/>
        <v>-125147.67</v>
      </c>
    </row>
    <row r="25" spans="2:14" ht="21" x14ac:dyDescent="0.2">
      <c r="B25" s="123" t="s">
        <v>17</v>
      </c>
      <c r="C25" s="124">
        <f t="shared" ref="C25:N25" si="7">C23+C24</f>
        <v>60713.17</v>
      </c>
      <c r="D25" s="124">
        <f t="shared" si="7"/>
        <v>155998.51999999999</v>
      </c>
      <c r="E25" s="124">
        <f t="shared" si="7"/>
        <v>234144.87000000002</v>
      </c>
      <c r="F25" s="124">
        <f t="shared" si="7"/>
        <v>290804.90000000002</v>
      </c>
      <c r="G25" s="26">
        <f t="shared" si="7"/>
        <v>399366.78</v>
      </c>
      <c r="H25" s="26">
        <f t="shared" si="7"/>
        <v>450937.88999999996</v>
      </c>
      <c r="I25" s="26">
        <f t="shared" si="7"/>
        <v>504236.06</v>
      </c>
      <c r="J25" s="26">
        <f t="shared" si="7"/>
        <v>572180.17999999993</v>
      </c>
      <c r="K25" s="26">
        <f t="shared" si="7"/>
        <v>624965.89</v>
      </c>
      <c r="L25" s="26">
        <f t="shared" si="7"/>
        <v>713123.59000000008</v>
      </c>
      <c r="M25" s="26">
        <f t="shared" si="7"/>
        <v>790657.85</v>
      </c>
      <c r="N25" s="27">
        <f t="shared" si="7"/>
        <v>873308.84</v>
      </c>
    </row>
    <row r="26" spans="2:14" ht="33.75" x14ac:dyDescent="0.2">
      <c r="B26" s="9" t="s">
        <v>33</v>
      </c>
      <c r="C26" s="10">
        <f t="shared" ref="C26:N26" si="8">C8</f>
        <v>-985.9</v>
      </c>
      <c r="D26" s="10">
        <f t="shared" si="8"/>
        <v>-3700</v>
      </c>
      <c r="E26" s="10">
        <f t="shared" si="8"/>
        <v>-6776.8</v>
      </c>
      <c r="F26" s="10">
        <f t="shared" si="8"/>
        <v>-7410.67</v>
      </c>
      <c r="G26" s="10">
        <f t="shared" si="8"/>
        <v>-13631.17</v>
      </c>
      <c r="H26" s="10">
        <f t="shared" si="8"/>
        <v>-29511.18</v>
      </c>
      <c r="I26" s="10">
        <f t="shared" si="8"/>
        <v>-29511.18</v>
      </c>
      <c r="J26" s="10">
        <f t="shared" si="8"/>
        <v>-31611.18</v>
      </c>
      <c r="K26" s="10">
        <f t="shared" si="8"/>
        <v>-39121.18</v>
      </c>
      <c r="L26" s="10">
        <f t="shared" si="8"/>
        <v>-44587.78</v>
      </c>
      <c r="M26" s="10">
        <f t="shared" si="8"/>
        <v>-47329.39</v>
      </c>
      <c r="N26" s="11">
        <f t="shared" si="8"/>
        <v>-47708.39</v>
      </c>
    </row>
    <row r="27" spans="2:14" x14ac:dyDescent="0.2">
      <c r="B27" s="123" t="s">
        <v>19</v>
      </c>
      <c r="C27" s="124">
        <f t="shared" ref="C27:N27" si="9">C25+C26</f>
        <v>59727.27</v>
      </c>
      <c r="D27" s="124">
        <f t="shared" si="9"/>
        <v>152298.51999999999</v>
      </c>
      <c r="E27" s="124">
        <f t="shared" si="9"/>
        <v>227368.07000000004</v>
      </c>
      <c r="F27" s="124">
        <f t="shared" si="9"/>
        <v>283394.23000000004</v>
      </c>
      <c r="G27" s="26">
        <f t="shared" si="9"/>
        <v>385735.61000000004</v>
      </c>
      <c r="H27" s="26">
        <f t="shared" si="9"/>
        <v>421426.70999999996</v>
      </c>
      <c r="I27" s="26">
        <f t="shared" si="9"/>
        <v>474724.88</v>
      </c>
      <c r="J27" s="26">
        <f t="shared" si="9"/>
        <v>540568.99999999988</v>
      </c>
      <c r="K27" s="26">
        <f t="shared" si="9"/>
        <v>585844.71</v>
      </c>
      <c r="L27" s="26">
        <f t="shared" si="9"/>
        <v>668535.81000000006</v>
      </c>
      <c r="M27" s="26">
        <f t="shared" si="9"/>
        <v>743328.46</v>
      </c>
      <c r="N27" s="27">
        <f t="shared" si="9"/>
        <v>825600.45</v>
      </c>
    </row>
    <row r="28" spans="2:14" ht="22.5" x14ac:dyDescent="0.2">
      <c r="B28" s="9" t="s">
        <v>20</v>
      </c>
      <c r="C28" s="10">
        <f t="shared" ref="C28:N28" si="10">SUM(C29:C30)</f>
        <v>-17285.43</v>
      </c>
      <c r="D28" s="10">
        <f t="shared" si="10"/>
        <v>-37919.290000000008</v>
      </c>
      <c r="E28" s="10">
        <f t="shared" si="10"/>
        <v>-58956.89</v>
      </c>
      <c r="F28" s="10">
        <f t="shared" si="10"/>
        <v>-81363.91</v>
      </c>
      <c r="G28" s="10">
        <f t="shared" si="10"/>
        <v>-103219.67000000001</v>
      </c>
      <c r="H28" s="10">
        <f t="shared" si="10"/>
        <v>-125676.18000000001</v>
      </c>
      <c r="I28" s="10">
        <f t="shared" si="10"/>
        <v>-145011.38999999998</v>
      </c>
      <c r="J28" s="10">
        <f t="shared" si="10"/>
        <v>-164090.81</v>
      </c>
      <c r="K28" s="10">
        <f t="shared" si="10"/>
        <v>-188865.49</v>
      </c>
      <c r="L28" s="10">
        <f t="shared" si="10"/>
        <v>-216332.66999999998</v>
      </c>
      <c r="M28" s="10">
        <f t="shared" si="10"/>
        <v>-242015.94999999998</v>
      </c>
      <c r="N28" s="11">
        <f t="shared" si="10"/>
        <v>-270680.19</v>
      </c>
    </row>
    <row r="29" spans="2:14" ht="22.5" x14ac:dyDescent="0.2">
      <c r="B29" s="9" t="s">
        <v>21</v>
      </c>
      <c r="C29" s="10">
        <f t="shared" ref="C29:N30" si="11">C11</f>
        <v>0</v>
      </c>
      <c r="D29" s="10">
        <f t="shared" si="11"/>
        <v>0</v>
      </c>
      <c r="E29" s="10">
        <f t="shared" si="11"/>
        <v>0</v>
      </c>
      <c r="F29" s="10">
        <f t="shared" si="11"/>
        <v>0</v>
      </c>
      <c r="G29" s="10">
        <f t="shared" si="11"/>
        <v>0</v>
      </c>
      <c r="H29" s="10">
        <f t="shared" si="11"/>
        <v>0</v>
      </c>
      <c r="I29" s="10">
        <f t="shared" si="11"/>
        <v>0</v>
      </c>
      <c r="J29" s="10">
        <f t="shared" si="11"/>
        <v>0</v>
      </c>
      <c r="K29" s="10">
        <f t="shared" si="11"/>
        <v>0</v>
      </c>
      <c r="L29" s="10">
        <f t="shared" si="11"/>
        <v>0</v>
      </c>
      <c r="M29" s="10">
        <f t="shared" si="11"/>
        <v>0</v>
      </c>
      <c r="N29" s="11">
        <f t="shared" si="11"/>
        <v>0</v>
      </c>
    </row>
    <row r="30" spans="2:14" ht="22.5" x14ac:dyDescent="0.2">
      <c r="B30" s="9" t="s">
        <v>22</v>
      </c>
      <c r="C30" s="10">
        <f t="shared" si="11"/>
        <v>-17285.43</v>
      </c>
      <c r="D30" s="10">
        <f t="shared" si="11"/>
        <v>-37919.290000000008</v>
      </c>
      <c r="E30" s="10">
        <f t="shared" si="11"/>
        <v>-58956.89</v>
      </c>
      <c r="F30" s="10">
        <f t="shared" si="11"/>
        <v>-81363.91</v>
      </c>
      <c r="G30" s="10">
        <f t="shared" si="11"/>
        <v>-103219.67000000001</v>
      </c>
      <c r="H30" s="10">
        <f t="shared" si="11"/>
        <v>-125676.18000000001</v>
      </c>
      <c r="I30" s="10">
        <f t="shared" si="11"/>
        <v>-145011.38999999998</v>
      </c>
      <c r="J30" s="10">
        <f t="shared" si="11"/>
        <v>-164090.81</v>
      </c>
      <c r="K30" s="10">
        <f t="shared" si="11"/>
        <v>-188865.49</v>
      </c>
      <c r="L30" s="10">
        <f t="shared" si="11"/>
        <v>-216332.66999999998</v>
      </c>
      <c r="M30" s="10">
        <f t="shared" si="11"/>
        <v>-242015.94999999998</v>
      </c>
      <c r="N30" s="11">
        <f t="shared" si="11"/>
        <v>-270680.19</v>
      </c>
    </row>
    <row r="31" spans="2:14" x14ac:dyDescent="0.2">
      <c r="B31" s="125" t="s">
        <v>34</v>
      </c>
      <c r="C31" s="126">
        <f t="shared" ref="C31:N31" si="12">C27+C28</f>
        <v>42441.84</v>
      </c>
      <c r="D31" s="126">
        <f t="shared" si="12"/>
        <v>114379.22999999998</v>
      </c>
      <c r="E31" s="126">
        <f t="shared" si="12"/>
        <v>168411.18000000005</v>
      </c>
      <c r="F31" s="126">
        <f t="shared" si="12"/>
        <v>202030.32000000004</v>
      </c>
      <c r="G31" s="29">
        <f t="shared" si="12"/>
        <v>282515.94000000006</v>
      </c>
      <c r="H31" s="29">
        <f t="shared" si="12"/>
        <v>295750.52999999997</v>
      </c>
      <c r="I31" s="29">
        <f t="shared" si="12"/>
        <v>329713.49</v>
      </c>
      <c r="J31" s="29">
        <f t="shared" si="12"/>
        <v>376478.18999999989</v>
      </c>
      <c r="K31" s="29">
        <f t="shared" si="12"/>
        <v>396979.22</v>
      </c>
      <c r="L31" s="29">
        <f t="shared" si="12"/>
        <v>452203.14000000007</v>
      </c>
      <c r="M31" s="29">
        <f t="shared" si="12"/>
        <v>501312.51</v>
      </c>
      <c r="N31" s="30">
        <f t="shared" si="12"/>
        <v>554920.26</v>
      </c>
    </row>
    <row r="32" spans="2:14" x14ac:dyDescent="0.2">
      <c r="B32" s="9" t="s">
        <v>35</v>
      </c>
      <c r="C32" s="10">
        <v>5170.21</v>
      </c>
      <c r="D32" s="10">
        <v>10340.14</v>
      </c>
      <c r="E32" s="10">
        <v>16281.89</v>
      </c>
      <c r="F32" s="10">
        <v>22223.64</v>
      </c>
      <c r="G32" s="10">
        <v>28165.39</v>
      </c>
      <c r="H32" s="10">
        <v>34107.14</v>
      </c>
      <c r="I32" s="10">
        <v>40048.89</v>
      </c>
      <c r="J32" s="10">
        <v>45818.29</v>
      </c>
      <c r="K32" s="10">
        <v>51547.43</v>
      </c>
      <c r="L32" s="10">
        <v>57230</v>
      </c>
      <c r="M32" s="10">
        <v>62912.57</v>
      </c>
      <c r="N32" s="11">
        <v>68595.19</v>
      </c>
    </row>
    <row r="33" spans="2:14" x14ac:dyDescent="0.2">
      <c r="B33" s="125" t="s">
        <v>36</v>
      </c>
      <c r="C33" s="126">
        <f t="shared" ref="C33:N33" si="13">C31+C32</f>
        <v>47612.049999999996</v>
      </c>
      <c r="D33" s="126">
        <f t="shared" si="13"/>
        <v>124719.36999999998</v>
      </c>
      <c r="E33" s="126">
        <f t="shared" si="13"/>
        <v>184693.07000000007</v>
      </c>
      <c r="F33" s="126">
        <f t="shared" si="13"/>
        <v>224253.96000000002</v>
      </c>
      <c r="G33" s="29">
        <f t="shared" si="13"/>
        <v>310681.33000000007</v>
      </c>
      <c r="H33" s="29">
        <f t="shared" si="13"/>
        <v>329857.67</v>
      </c>
      <c r="I33" s="29">
        <f t="shared" si="13"/>
        <v>369762.38</v>
      </c>
      <c r="J33" s="29">
        <f t="shared" si="13"/>
        <v>422296.47999999986</v>
      </c>
      <c r="K33" s="29">
        <f t="shared" si="13"/>
        <v>448526.64999999997</v>
      </c>
      <c r="L33" s="29">
        <f t="shared" si="13"/>
        <v>509433.14000000007</v>
      </c>
      <c r="M33" s="29">
        <f t="shared" si="13"/>
        <v>564225.07999999996</v>
      </c>
      <c r="N33" s="30">
        <f t="shared" si="13"/>
        <v>623515.44999999995</v>
      </c>
    </row>
    <row r="34" spans="2:14" x14ac:dyDescent="0.2">
      <c r="B34" s="31" t="s">
        <v>37</v>
      </c>
      <c r="C34" s="32" t="s">
        <v>38</v>
      </c>
      <c r="D34" s="33">
        <f t="shared" ref="D34:N34" si="14">D33/C33-1</f>
        <v>1.6194917043059478</v>
      </c>
      <c r="E34" s="33">
        <f t="shared" si="14"/>
        <v>0.48086917052259071</v>
      </c>
      <c r="F34" s="33">
        <f t="shared" si="14"/>
        <v>0.21419802053211812</v>
      </c>
      <c r="G34" s="33">
        <f t="shared" si="14"/>
        <v>0.3853995265011152</v>
      </c>
      <c r="H34" s="33">
        <f t="shared" si="14"/>
        <v>6.1723502986162471E-2</v>
      </c>
      <c r="I34" s="33">
        <f t="shared" si="14"/>
        <v>0.12097554075368322</v>
      </c>
      <c r="J34" s="33">
        <f t="shared" si="14"/>
        <v>0.14207529711378397</v>
      </c>
      <c r="K34" s="33">
        <f t="shared" si="14"/>
        <v>6.2113162771330943E-2</v>
      </c>
      <c r="L34" s="33">
        <f t="shared" si="14"/>
        <v>0.1357923548132538</v>
      </c>
      <c r="M34" s="33">
        <f t="shared" si="14"/>
        <v>0.10755472249017783</v>
      </c>
      <c r="N34" s="34">
        <f t="shared" si="14"/>
        <v>0.10508283325512568</v>
      </c>
    </row>
    <row r="35" spans="2:14" x14ac:dyDescent="0.2">
      <c r="B35" s="31" t="s">
        <v>39</v>
      </c>
      <c r="C35" s="32"/>
      <c r="D35" s="35">
        <f>1*(D34/100+1)</f>
        <v>1.0161949170430595</v>
      </c>
      <c r="E35" s="35">
        <f t="shared" ref="E35:N35" si="15">D35*(E34/100+1)</f>
        <v>1.0210814851115373</v>
      </c>
      <c r="F35" s="35">
        <f t="shared" si="15"/>
        <v>1.0232686214406661</v>
      </c>
      <c r="G35" s="35">
        <f t="shared" si="15"/>
        <v>1.027212293862533</v>
      </c>
      <c r="H35" s="35">
        <f t="shared" si="15"/>
        <v>1.0278463252734096</v>
      </c>
      <c r="I35" s="35">
        <f t="shared" si="15"/>
        <v>1.0290897679235258</v>
      </c>
      <c r="J35" s="35">
        <f t="shared" si="15"/>
        <v>1.0305518502688706</v>
      </c>
      <c r="K35" s="35">
        <f t="shared" si="15"/>
        <v>1.0311919586170712</v>
      </c>
      <c r="L35" s="35">
        <f t="shared" si="15"/>
        <v>1.0325922384603221</v>
      </c>
      <c r="M35" s="35">
        <f t="shared" si="15"/>
        <v>1.0337028401768533</v>
      </c>
      <c r="N35" s="36">
        <f t="shared" si="15"/>
        <v>1.0347890844087497</v>
      </c>
    </row>
    <row r="36" spans="2:14" ht="13.5" thickBot="1" x14ac:dyDescent="0.25">
      <c r="B36" s="37" t="s">
        <v>39</v>
      </c>
      <c r="C36" s="38" t="s">
        <v>38</v>
      </c>
      <c r="D36" s="39">
        <f t="shared" ref="D36:N36" si="16">D35-1</f>
        <v>1.6194917043059531E-2</v>
      </c>
      <c r="E36" s="39">
        <f t="shared" si="16"/>
        <v>2.108148511153729E-2</v>
      </c>
      <c r="F36" s="39">
        <f t="shared" si="16"/>
        <v>2.3268621440666104E-2</v>
      </c>
      <c r="G36" s="39">
        <f t="shared" si="16"/>
        <v>2.7212293862532988E-2</v>
      </c>
      <c r="H36" s="39">
        <f t="shared" si="16"/>
        <v>2.7846325273409578E-2</v>
      </c>
      <c r="I36" s="39">
        <f t="shared" si="16"/>
        <v>2.90897679235258E-2</v>
      </c>
      <c r="J36" s="39">
        <f t="shared" si="16"/>
        <v>3.0551850268870639E-2</v>
      </c>
      <c r="K36" s="39">
        <f t="shared" si="16"/>
        <v>3.1191958617071247E-2</v>
      </c>
      <c r="L36" s="39">
        <f t="shared" si="16"/>
        <v>3.2592238460322109E-2</v>
      </c>
      <c r="M36" s="39">
        <f t="shared" si="16"/>
        <v>3.3702840176853321E-2</v>
      </c>
      <c r="N36" s="40">
        <f t="shared" si="16"/>
        <v>3.4789084408749726E-2</v>
      </c>
    </row>
  </sheetData>
  <mergeCells count="2">
    <mergeCell ref="B1:N1"/>
    <mergeCell ref="C2:N2"/>
  </mergeCells>
  <phoneticPr fontId="0" type="noConversion"/>
  <pageMargins left="0.25" right="0.22" top="0.25" bottom="0.984251969" header="0.13" footer="0.49212598499999999"/>
  <pageSetup paperSize="9" scale="74" orientation="portrait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62"/>
  <sheetViews>
    <sheetView topLeftCell="C31" zoomScaleNormal="100" workbookViewId="0">
      <selection activeCell="D38" sqref="D38"/>
    </sheetView>
  </sheetViews>
  <sheetFormatPr defaultColWidth="11.5703125" defaultRowHeight="12.75" x14ac:dyDescent="0.2"/>
  <cols>
    <col min="1" max="1" width="6.42578125" style="2" customWidth="1"/>
    <col min="2" max="2" width="18.42578125" style="2" bestFit="1" customWidth="1"/>
    <col min="3" max="3" width="10.5703125" style="2" bestFit="1" customWidth="1"/>
    <col min="4" max="5" width="10" style="2" bestFit="1" customWidth="1"/>
    <col min="6" max="6" width="9.85546875" style="2" customWidth="1"/>
    <col min="7" max="7" width="10.42578125" style="166" bestFit="1" customWidth="1"/>
    <col min="8" max="12" width="10.85546875" style="2" bestFit="1" customWidth="1"/>
    <col min="13" max="13" width="12.42578125" style="2" bestFit="1" customWidth="1"/>
    <col min="14" max="14" width="10.85546875" style="2" customWidth="1"/>
    <col min="15" max="15" width="11.5703125" style="2"/>
    <col min="16" max="16" width="11.7109375" style="2" bestFit="1" customWidth="1"/>
    <col min="17" max="16384" width="11.5703125" style="2"/>
  </cols>
  <sheetData>
    <row r="1" spans="1:14" x14ac:dyDescent="0.2">
      <c r="A1" s="178"/>
      <c r="B1" s="178"/>
      <c r="C1" s="178"/>
      <c r="D1" s="178"/>
      <c r="E1" s="178"/>
      <c r="F1" s="178"/>
      <c r="G1" s="179"/>
      <c r="H1" s="178"/>
      <c r="I1" s="178"/>
      <c r="J1" s="178"/>
      <c r="K1" s="178"/>
      <c r="L1" s="178"/>
      <c r="M1" s="178"/>
      <c r="N1" s="178"/>
    </row>
    <row r="2" spans="1:14" ht="18.75" x14ac:dyDescent="0.3">
      <c r="A2" s="178"/>
      <c r="B2" s="180" t="s">
        <v>44</v>
      </c>
      <c r="C2" s="178"/>
      <c r="D2" s="178"/>
      <c r="E2" s="178"/>
      <c r="F2" s="178"/>
      <c r="G2" s="179"/>
      <c r="H2" s="178"/>
      <c r="I2" s="178"/>
      <c r="J2" s="178"/>
      <c r="K2" s="178"/>
      <c r="L2" s="178"/>
      <c r="M2" s="178"/>
      <c r="N2" s="178"/>
    </row>
    <row r="3" spans="1:14" x14ac:dyDescent="0.2">
      <c r="A3" s="178"/>
      <c r="B3" s="178"/>
      <c r="C3" s="178"/>
      <c r="D3" s="178"/>
      <c r="E3" s="178"/>
      <c r="F3" s="178"/>
      <c r="G3" s="179"/>
      <c r="H3" s="178"/>
      <c r="I3" s="178"/>
      <c r="J3" s="178"/>
      <c r="K3" s="178"/>
      <c r="L3" s="178"/>
      <c r="M3" s="178"/>
      <c r="N3" s="178"/>
    </row>
    <row r="4" spans="1:14" ht="13.5" thickBot="1" x14ac:dyDescent="0.25">
      <c r="A4" s="178"/>
      <c r="B4" s="178"/>
      <c r="C4" s="178"/>
      <c r="D4" s="178"/>
      <c r="E4" s="178"/>
      <c r="F4" s="178"/>
      <c r="G4" s="179"/>
      <c r="H4" s="178"/>
      <c r="I4" s="178"/>
      <c r="J4" s="178"/>
      <c r="K4" s="178"/>
      <c r="L4" s="178"/>
      <c r="M4" s="178"/>
      <c r="N4" s="178"/>
    </row>
    <row r="5" spans="1:14" ht="25.5" customHeight="1" thickBot="1" x14ac:dyDescent="0.25">
      <c r="A5" s="178"/>
      <c r="B5" s="192" t="s">
        <v>45</v>
      </c>
      <c r="C5" s="193"/>
      <c r="D5" s="193"/>
      <c r="E5" s="193"/>
      <c r="F5" s="193"/>
      <c r="G5" s="193"/>
      <c r="H5" s="193"/>
      <c r="I5" s="193"/>
      <c r="J5" s="193"/>
      <c r="K5" s="193"/>
      <c r="L5" s="193"/>
      <c r="M5" s="193"/>
      <c r="N5" s="194"/>
    </row>
    <row r="6" spans="1:14" x14ac:dyDescent="0.2">
      <c r="A6" s="178"/>
      <c r="B6" s="129" t="s">
        <v>0</v>
      </c>
      <c r="C6" s="188" t="s">
        <v>1</v>
      </c>
      <c r="D6" s="188"/>
      <c r="E6" s="188"/>
      <c r="F6" s="188"/>
      <c r="G6" s="188"/>
      <c r="H6" s="188"/>
      <c r="I6" s="188"/>
      <c r="J6" s="188"/>
      <c r="K6" s="188"/>
      <c r="L6" s="188"/>
      <c r="M6" s="188"/>
      <c r="N6" s="195"/>
    </row>
    <row r="7" spans="1:14" x14ac:dyDescent="0.2">
      <c r="A7" s="178"/>
      <c r="B7" s="130" t="s">
        <v>2</v>
      </c>
      <c r="C7" s="4" t="s">
        <v>3</v>
      </c>
      <c r="D7" s="4" t="s">
        <v>4</v>
      </c>
      <c r="E7" s="4" t="s">
        <v>5</v>
      </c>
      <c r="F7" s="4" t="s">
        <v>6</v>
      </c>
      <c r="G7" s="167" t="s">
        <v>7</v>
      </c>
      <c r="H7" s="4" t="s">
        <v>8</v>
      </c>
      <c r="I7" s="4" t="s">
        <v>9</v>
      </c>
      <c r="J7" s="4" t="s">
        <v>10</v>
      </c>
      <c r="K7" s="4" t="s">
        <v>11</v>
      </c>
      <c r="L7" s="4" t="s">
        <v>12</v>
      </c>
      <c r="M7" s="4" t="s">
        <v>13</v>
      </c>
      <c r="N7" s="131" t="s">
        <v>14</v>
      </c>
    </row>
    <row r="8" spans="1:14" ht="21" x14ac:dyDescent="0.2">
      <c r="A8" s="178"/>
      <c r="B8" s="132" t="s">
        <v>15</v>
      </c>
      <c r="C8" s="151">
        <v>121239.58</v>
      </c>
      <c r="D8" s="158">
        <v>242159.85</v>
      </c>
      <c r="E8" s="122">
        <v>369315.85</v>
      </c>
      <c r="F8" s="122">
        <v>482449.34</v>
      </c>
      <c r="G8" s="168">
        <v>543669.43000000005</v>
      </c>
      <c r="H8" s="127">
        <v>676267.4</v>
      </c>
      <c r="I8" s="127">
        <v>804548.13</v>
      </c>
      <c r="J8" s="127">
        <v>971341.85</v>
      </c>
      <c r="K8" s="127">
        <v>1087659.73</v>
      </c>
      <c r="L8" s="127">
        <v>1194052.56</v>
      </c>
      <c r="M8" s="127">
        <v>1328012.7</v>
      </c>
      <c r="N8" s="133">
        <v>1366005.29</v>
      </c>
    </row>
    <row r="9" spans="1:14" ht="33.75" x14ac:dyDescent="0.2">
      <c r="A9" s="178"/>
      <c r="B9" s="134" t="s">
        <v>16</v>
      </c>
      <c r="C9" s="152">
        <v>-7424.31</v>
      </c>
      <c r="D9" s="152">
        <v>-16237.67</v>
      </c>
      <c r="E9" s="152">
        <v>-45138.400000000001</v>
      </c>
      <c r="F9" s="152">
        <v>-50989.34</v>
      </c>
      <c r="G9" s="159">
        <v>-57159.34</v>
      </c>
      <c r="H9" s="159">
        <v>-97595.48</v>
      </c>
      <c r="I9" s="152">
        <v>-103375.67</v>
      </c>
      <c r="J9" s="152">
        <v>-108948.09</v>
      </c>
      <c r="K9" s="152">
        <v>-54832.77</v>
      </c>
      <c r="L9" s="152">
        <v>-60983.19</v>
      </c>
      <c r="M9" s="177">
        <v>-69488.67</v>
      </c>
      <c r="N9" s="177">
        <v>-75024.350000000006</v>
      </c>
    </row>
    <row r="10" spans="1:14" x14ac:dyDescent="0.2">
      <c r="A10" s="178"/>
      <c r="B10" s="134" t="s">
        <v>40</v>
      </c>
      <c r="C10" s="152">
        <v>12659.29</v>
      </c>
      <c r="D10" s="159">
        <v>23816.57</v>
      </c>
      <c r="E10" s="10">
        <v>34424.89</v>
      </c>
      <c r="F10" s="10">
        <v>45555.63</v>
      </c>
      <c r="G10" s="159">
        <v>47901.24</v>
      </c>
      <c r="H10" s="10">
        <v>59547.46</v>
      </c>
      <c r="I10" s="10">
        <v>59544.959999999999</v>
      </c>
      <c r="J10" s="10">
        <v>59544.99</v>
      </c>
      <c r="K10" s="10">
        <v>66614</v>
      </c>
      <c r="L10" s="10">
        <v>68676.05</v>
      </c>
      <c r="M10" s="10">
        <v>73511.53</v>
      </c>
      <c r="N10" s="135">
        <v>73541.53</v>
      </c>
    </row>
    <row r="11" spans="1:14" ht="21" x14ac:dyDescent="0.2">
      <c r="A11" s="178"/>
      <c r="B11" s="132" t="s">
        <v>17</v>
      </c>
      <c r="C11" s="151">
        <f t="shared" ref="C11:N11" si="0">SUM(C8:C10)</f>
        <v>126474.56</v>
      </c>
      <c r="D11" s="158">
        <f t="shared" si="0"/>
        <v>249738.75</v>
      </c>
      <c r="E11" s="122">
        <f t="shared" si="0"/>
        <v>358602.33999999997</v>
      </c>
      <c r="F11" s="122">
        <f t="shared" si="0"/>
        <v>477015.63</v>
      </c>
      <c r="G11" s="168">
        <f t="shared" si="0"/>
        <v>534411.33000000007</v>
      </c>
      <c r="H11" s="127">
        <f t="shared" si="0"/>
        <v>638219.38</v>
      </c>
      <c r="I11" s="127">
        <f t="shared" si="0"/>
        <v>760717.41999999993</v>
      </c>
      <c r="J11" s="127">
        <f t="shared" si="0"/>
        <v>921938.75</v>
      </c>
      <c r="K11" s="127">
        <f t="shared" si="0"/>
        <v>1099440.96</v>
      </c>
      <c r="L11" s="127">
        <f t="shared" si="0"/>
        <v>1201745.4200000002</v>
      </c>
      <c r="M11" s="127">
        <f t="shared" si="0"/>
        <v>1332035.56</v>
      </c>
      <c r="N11" s="133">
        <f t="shared" si="0"/>
        <v>1364522.47</v>
      </c>
    </row>
    <row r="12" spans="1:14" ht="33.75" x14ac:dyDescent="0.2">
      <c r="A12" s="178"/>
      <c r="B12" s="134" t="s">
        <v>18</v>
      </c>
      <c r="C12" s="152">
        <v>-949.6</v>
      </c>
      <c r="D12" s="152">
        <v>-3442.6</v>
      </c>
      <c r="E12" s="152">
        <v>-6282.6</v>
      </c>
      <c r="F12" s="152">
        <v>-6632.6</v>
      </c>
      <c r="G12" s="152">
        <v>-12322.6</v>
      </c>
      <c r="H12" s="152">
        <v>-12962.6</v>
      </c>
      <c r="I12" s="152">
        <v>-13843.6</v>
      </c>
      <c r="J12" s="152">
        <v>-15723.6</v>
      </c>
      <c r="K12" s="152">
        <v>-16409.400000000001</v>
      </c>
      <c r="L12" s="152">
        <v>-16409.400000000001</v>
      </c>
      <c r="M12" s="175">
        <v>-20149.400000000001</v>
      </c>
      <c r="N12" s="175">
        <v>-20408.43</v>
      </c>
    </row>
    <row r="13" spans="1:14" x14ac:dyDescent="0.2">
      <c r="A13" s="178"/>
      <c r="B13" s="132" t="s">
        <v>19</v>
      </c>
      <c r="C13" s="151">
        <f t="shared" ref="C13:N13" si="1">C11+C12</f>
        <v>125524.95999999999</v>
      </c>
      <c r="D13" s="158">
        <f t="shared" si="1"/>
        <v>246296.15</v>
      </c>
      <c r="E13" s="122">
        <f t="shared" si="1"/>
        <v>352319.74</v>
      </c>
      <c r="F13" s="122">
        <f t="shared" si="1"/>
        <v>470383.03</v>
      </c>
      <c r="G13" s="168">
        <f t="shared" si="1"/>
        <v>522088.7300000001</v>
      </c>
      <c r="H13" s="127">
        <f t="shared" si="1"/>
        <v>625256.78</v>
      </c>
      <c r="I13" s="127">
        <f t="shared" si="1"/>
        <v>746873.82</v>
      </c>
      <c r="J13" s="127">
        <f t="shared" si="1"/>
        <v>906215.15</v>
      </c>
      <c r="K13" s="127">
        <f t="shared" si="1"/>
        <v>1083031.56</v>
      </c>
      <c r="L13" s="127">
        <f t="shared" si="1"/>
        <v>1185336.0200000003</v>
      </c>
      <c r="M13" s="127">
        <f t="shared" si="1"/>
        <v>1311886.1600000001</v>
      </c>
      <c r="N13" s="133">
        <f t="shared" si="1"/>
        <v>1344114.04</v>
      </c>
    </row>
    <row r="14" spans="1:14" ht="22.5" x14ac:dyDescent="0.2">
      <c r="A14" s="178"/>
      <c r="B14" s="136" t="s">
        <v>20</v>
      </c>
      <c r="C14" s="153">
        <f>SUM(C16:C18)</f>
        <v>-25620.41</v>
      </c>
      <c r="D14" s="153">
        <f>SUM(D16:D18)</f>
        <v>-43184.210000000006</v>
      </c>
      <c r="E14" s="153">
        <f>SUM(E16:E18)</f>
        <v>-60825.470000000008</v>
      </c>
      <c r="F14" s="153">
        <f>SUM(F16:F18)</f>
        <v>-81921.33</v>
      </c>
      <c r="G14" s="153">
        <f>SUM(G16:G18)</f>
        <v>-100109.7</v>
      </c>
      <c r="H14" s="152">
        <f t="shared" ref="H14:N14" si="2">SUM(H15:H18)</f>
        <v>-113365.92</v>
      </c>
      <c r="I14" s="152">
        <f t="shared" si="2"/>
        <v>-133871.48000000001</v>
      </c>
      <c r="J14" s="152">
        <f t="shared" si="2"/>
        <v>-155126.06</v>
      </c>
      <c r="K14" s="152">
        <f t="shared" si="2"/>
        <v>-176686.19</v>
      </c>
      <c r="L14" s="174">
        <f t="shared" si="2"/>
        <v>-200096.05</v>
      </c>
      <c r="M14" s="174">
        <f t="shared" si="2"/>
        <v>-222050.53000000003</v>
      </c>
      <c r="N14" s="174">
        <f t="shared" si="2"/>
        <v>-249510.69000000003</v>
      </c>
    </row>
    <row r="15" spans="1:14" ht="22.5" x14ac:dyDescent="0.2">
      <c r="A15" s="178"/>
      <c r="B15" s="134" t="s">
        <v>21</v>
      </c>
      <c r="C15" s="154"/>
      <c r="D15" s="159">
        <v>0</v>
      </c>
      <c r="E15" s="10">
        <v>0</v>
      </c>
      <c r="F15" s="10">
        <v>0</v>
      </c>
      <c r="G15" s="159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35">
        <v>0</v>
      </c>
    </row>
    <row r="16" spans="1:14" ht="22.5" x14ac:dyDescent="0.2">
      <c r="A16" s="178"/>
      <c r="B16" s="134" t="s">
        <v>22</v>
      </c>
      <c r="C16" s="152">
        <f>-15885.48-4847.35-4861.6</f>
        <v>-25594.43</v>
      </c>
      <c r="D16" s="152">
        <f>-31227.94-6938.42-4975.66</f>
        <v>-43142.020000000004</v>
      </c>
      <c r="E16" s="152">
        <f>-45409.98-10067.51-5209.18</f>
        <v>-60686.670000000006</v>
      </c>
      <c r="F16" s="152">
        <f>-61894.4-14318.85-5472.22</f>
        <v>-81685.47</v>
      </c>
      <c r="G16" s="152">
        <f>-76208.58-17571.83-6041.48</f>
        <v>-99821.89</v>
      </c>
      <c r="H16" s="152">
        <f>-85076.6-21599.74-6349.82</f>
        <v>-113026.16</v>
      </c>
      <c r="I16" s="152">
        <f>-40373.32-9709.71-47690.64-2205.54-27109.04-6349.82</f>
        <v>-133438.07</v>
      </c>
      <c r="J16" s="152">
        <f>-47617.04-11526.98-61193.92-2205.54-25700.64-6354.88</f>
        <v>-154599</v>
      </c>
      <c r="K16" s="174">
        <f>-55140.01-13282.69-70004.77-2205.54-29125.71-6375.02</f>
        <v>-176133.74</v>
      </c>
      <c r="L16" s="175">
        <f>(-62451.34-14957.95-80851.08-2598.94-32282.49-6391.55)</f>
        <v>-199533.34999999998</v>
      </c>
      <c r="M16" s="175">
        <f>-70120.88-16648.53-88121.67-2598.94-37540.76-6391.55</f>
        <v>-221422.33000000002</v>
      </c>
      <c r="N16" s="182">
        <f>-80119.97-19481.97-95422.71-3846.07-42260.97-6688.56</f>
        <v>-247820.25000000003</v>
      </c>
    </row>
    <row r="17" spans="1:16" ht="22.5" x14ac:dyDescent="0.2">
      <c r="A17" s="178"/>
      <c r="B17" s="134" t="s">
        <v>23</v>
      </c>
      <c r="C17" s="152">
        <v>-25.98</v>
      </c>
      <c r="D17" s="152">
        <v>-42.19</v>
      </c>
      <c r="E17" s="152">
        <v>-138.80000000000001</v>
      </c>
      <c r="F17" s="152">
        <v>-235.86</v>
      </c>
      <c r="G17" s="152">
        <v>-287.81</v>
      </c>
      <c r="H17" s="152">
        <v>-339.76</v>
      </c>
      <c r="I17" s="152">
        <v>-433.41</v>
      </c>
      <c r="J17" s="152">
        <v>-527.05999999999995</v>
      </c>
      <c r="K17" s="152">
        <v>-552.45000000000005</v>
      </c>
      <c r="L17" s="152">
        <v>-562.70000000000005</v>
      </c>
      <c r="M17" s="152">
        <v>-628.20000000000005</v>
      </c>
      <c r="N17" s="152">
        <v>-1690.44</v>
      </c>
    </row>
    <row r="18" spans="1:16" x14ac:dyDescent="0.2">
      <c r="A18" s="178"/>
      <c r="B18" s="134" t="s">
        <v>24</v>
      </c>
      <c r="C18" s="155" t="s">
        <v>25</v>
      </c>
      <c r="D18" s="160"/>
      <c r="E18" s="12"/>
      <c r="F18" s="12"/>
      <c r="G18" s="160"/>
      <c r="H18" s="12"/>
      <c r="I18" s="12"/>
      <c r="J18" s="12"/>
      <c r="K18" s="12"/>
      <c r="L18" s="12"/>
      <c r="M18" s="12"/>
      <c r="N18" s="137"/>
    </row>
    <row r="19" spans="1:16" x14ac:dyDescent="0.2">
      <c r="A19" s="178"/>
      <c r="B19" s="134" t="s">
        <v>26</v>
      </c>
      <c r="C19" s="152">
        <f t="shared" ref="C19:N19" si="3">C13+C14</f>
        <v>99904.549999999988</v>
      </c>
      <c r="D19" s="159">
        <f t="shared" si="3"/>
        <v>203111.94</v>
      </c>
      <c r="E19" s="10">
        <f t="shared" si="3"/>
        <v>291494.26999999996</v>
      </c>
      <c r="F19" s="10">
        <f t="shared" si="3"/>
        <v>388461.7</v>
      </c>
      <c r="G19" s="159">
        <f t="shared" si="3"/>
        <v>421979.03000000009</v>
      </c>
      <c r="H19" s="10">
        <f t="shared" si="3"/>
        <v>511890.86000000004</v>
      </c>
      <c r="I19" s="10">
        <f t="shared" si="3"/>
        <v>613002.34</v>
      </c>
      <c r="J19" s="10">
        <f t="shared" si="3"/>
        <v>751089.09000000008</v>
      </c>
      <c r="K19" s="10">
        <f t="shared" si="3"/>
        <v>906345.37000000011</v>
      </c>
      <c r="L19" s="10">
        <f t="shared" si="3"/>
        <v>985239.9700000002</v>
      </c>
      <c r="M19" s="10">
        <f t="shared" si="3"/>
        <v>1089835.6300000001</v>
      </c>
      <c r="N19" s="135">
        <f t="shared" si="3"/>
        <v>1094603.3500000001</v>
      </c>
    </row>
    <row r="20" spans="1:16" ht="33.75" x14ac:dyDescent="0.2">
      <c r="A20" s="178"/>
      <c r="B20" s="134" t="s">
        <v>27</v>
      </c>
      <c r="C20" s="152">
        <v>196.57</v>
      </c>
      <c r="D20" s="159">
        <v>380.11</v>
      </c>
      <c r="E20" s="10">
        <v>599.4</v>
      </c>
      <c r="F20" s="10">
        <v>803.13</v>
      </c>
      <c r="G20" s="159">
        <v>1047.8</v>
      </c>
      <c r="H20" s="10">
        <v>1270.3599999999999</v>
      </c>
      <c r="I20" s="10">
        <v>1517.41</v>
      </c>
      <c r="J20" s="10">
        <f>1753.87-1588.22</f>
        <v>165.64999999999986</v>
      </c>
      <c r="K20" s="10">
        <f>1987.16-1588.22</f>
        <v>398.94000000000005</v>
      </c>
      <c r="L20" s="10">
        <f>2214.56-1588.22</f>
        <v>626.33999999999992</v>
      </c>
      <c r="M20" s="10">
        <f>2436.93-1588.22</f>
        <v>848.70999999999981</v>
      </c>
      <c r="N20" s="135">
        <f>2668.85-1588.22</f>
        <v>1080.6299999999999</v>
      </c>
    </row>
    <row r="21" spans="1:16" ht="21" x14ac:dyDescent="0.2">
      <c r="A21" s="178"/>
      <c r="B21" s="132" t="s">
        <v>28</v>
      </c>
      <c r="C21" s="151">
        <f t="shared" ref="C21:N21" si="4">C19+C20</f>
        <v>100101.12</v>
      </c>
      <c r="D21" s="158">
        <f t="shared" si="4"/>
        <v>203492.05</v>
      </c>
      <c r="E21" s="122">
        <f t="shared" si="4"/>
        <v>292093.67</v>
      </c>
      <c r="F21" s="122">
        <f t="shared" si="4"/>
        <v>389264.83</v>
      </c>
      <c r="G21" s="168">
        <f t="shared" si="4"/>
        <v>423026.83000000007</v>
      </c>
      <c r="H21" s="127">
        <f t="shared" si="4"/>
        <v>513161.22000000003</v>
      </c>
      <c r="I21" s="127">
        <f t="shared" si="4"/>
        <v>614519.75</v>
      </c>
      <c r="J21" s="127">
        <f t="shared" si="4"/>
        <v>751254.74000000011</v>
      </c>
      <c r="K21" s="127">
        <f t="shared" si="4"/>
        <v>906744.31</v>
      </c>
      <c r="L21" s="127">
        <f t="shared" si="4"/>
        <v>985866.31000000017</v>
      </c>
      <c r="M21" s="127">
        <f t="shared" si="4"/>
        <v>1090684.3400000001</v>
      </c>
      <c r="N21" s="133">
        <f t="shared" si="4"/>
        <v>1095683.98</v>
      </c>
    </row>
    <row r="22" spans="1:16" ht="22.5" x14ac:dyDescent="0.2">
      <c r="A22" s="178"/>
      <c r="B22" s="134" t="s">
        <v>46</v>
      </c>
      <c r="C22" s="152">
        <v>0</v>
      </c>
      <c r="D22" s="159">
        <v>0</v>
      </c>
      <c r="E22" s="10">
        <v>0</v>
      </c>
      <c r="F22" s="10">
        <v>0</v>
      </c>
      <c r="G22" s="159">
        <v>0</v>
      </c>
      <c r="H22" s="10">
        <v>0</v>
      </c>
      <c r="I22" s="10">
        <v>0</v>
      </c>
      <c r="J22" s="10">
        <v>0</v>
      </c>
      <c r="K22" s="174">
        <v>-90025.74</v>
      </c>
      <c r="L22" s="174">
        <v>-90025.74</v>
      </c>
      <c r="M22" s="174">
        <v>-90025.74</v>
      </c>
      <c r="N22" s="174">
        <v>-150278.82</v>
      </c>
    </row>
    <row r="23" spans="1:16" x14ac:dyDescent="0.2">
      <c r="A23" s="178"/>
      <c r="B23" s="132" t="s">
        <v>30</v>
      </c>
      <c r="C23" s="151">
        <f t="shared" ref="C23:N23" si="5">C21+C22</f>
        <v>100101.12</v>
      </c>
      <c r="D23" s="158">
        <f t="shared" si="5"/>
        <v>203492.05</v>
      </c>
      <c r="E23" s="122">
        <f t="shared" si="5"/>
        <v>292093.67</v>
      </c>
      <c r="F23" s="122">
        <f t="shared" si="5"/>
        <v>389264.83</v>
      </c>
      <c r="G23" s="168">
        <f t="shared" si="5"/>
        <v>423026.83000000007</v>
      </c>
      <c r="H23" s="127">
        <f t="shared" si="5"/>
        <v>513161.22000000003</v>
      </c>
      <c r="I23" s="127">
        <f t="shared" si="5"/>
        <v>614519.75</v>
      </c>
      <c r="J23" s="127">
        <f t="shared" si="5"/>
        <v>751254.74000000011</v>
      </c>
      <c r="K23" s="127">
        <f t="shared" si="5"/>
        <v>816718.57000000007</v>
      </c>
      <c r="L23" s="127">
        <f t="shared" si="5"/>
        <v>895840.57000000018</v>
      </c>
      <c r="M23" s="127">
        <f t="shared" si="5"/>
        <v>1000658.6000000001</v>
      </c>
      <c r="N23" s="133">
        <f t="shared" si="5"/>
        <v>945405.15999999992</v>
      </c>
      <c r="P23" s="181">
        <f>M23</f>
        <v>1000658.6000000001</v>
      </c>
    </row>
    <row r="24" spans="1:16" x14ac:dyDescent="0.2">
      <c r="A24" s="178"/>
      <c r="B24" s="138"/>
      <c r="C24" s="17"/>
      <c r="D24" s="161"/>
      <c r="E24" s="17"/>
      <c r="F24" s="17"/>
      <c r="G24" s="161"/>
      <c r="H24" s="17"/>
      <c r="I24" s="17"/>
      <c r="J24" s="17"/>
      <c r="K24" s="17"/>
      <c r="L24" s="17"/>
      <c r="M24" s="17"/>
      <c r="N24" s="79"/>
      <c r="P24" s="181">
        <v>1000658.6</v>
      </c>
    </row>
    <row r="25" spans="1:16" ht="31.5" x14ac:dyDescent="0.2">
      <c r="A25" s="178"/>
      <c r="B25" s="139" t="s">
        <v>31</v>
      </c>
      <c r="C25" s="20" t="s">
        <v>32</v>
      </c>
      <c r="D25" s="162" t="s">
        <v>32</v>
      </c>
      <c r="E25" s="20" t="s">
        <v>32</v>
      </c>
      <c r="F25" s="20" t="s">
        <v>32</v>
      </c>
      <c r="G25" s="162" t="s">
        <v>32</v>
      </c>
      <c r="H25" s="20" t="s">
        <v>32</v>
      </c>
      <c r="I25" s="20" t="s">
        <v>32</v>
      </c>
      <c r="J25" s="20" t="s">
        <v>32</v>
      </c>
      <c r="K25" s="20" t="s">
        <v>32</v>
      </c>
      <c r="L25" s="20" t="s">
        <v>32</v>
      </c>
      <c r="M25" s="20" t="s">
        <v>32</v>
      </c>
      <c r="N25" s="140" t="s">
        <v>32</v>
      </c>
    </row>
    <row r="26" spans="1:16" x14ac:dyDescent="0.2">
      <c r="A26" s="178"/>
      <c r="B26" s="141" t="str">
        <f>B7</f>
        <v>Empresa:</v>
      </c>
      <c r="C26" s="23"/>
      <c r="D26" s="163"/>
      <c r="E26" s="23"/>
      <c r="F26" s="23"/>
      <c r="G26" s="163"/>
      <c r="H26" s="23"/>
      <c r="I26" s="23"/>
      <c r="J26" s="23"/>
      <c r="K26" s="23"/>
      <c r="L26" s="23"/>
      <c r="M26" s="23"/>
      <c r="N26" s="142"/>
      <c r="P26" s="181">
        <f>P23-P24</f>
        <v>0</v>
      </c>
    </row>
    <row r="27" spans="1:16" ht="21" x14ac:dyDescent="0.2">
      <c r="A27" s="178"/>
      <c r="B27" s="143" t="s">
        <v>15</v>
      </c>
      <c r="C27" s="156">
        <f t="shared" ref="C27:N27" si="6">C8</f>
        <v>121239.58</v>
      </c>
      <c r="D27" s="164">
        <f t="shared" si="6"/>
        <v>242159.85</v>
      </c>
      <c r="E27" s="124">
        <f t="shared" si="6"/>
        <v>369315.85</v>
      </c>
      <c r="F27" s="124">
        <f t="shared" si="6"/>
        <v>482449.34</v>
      </c>
      <c r="G27" s="169">
        <f t="shared" si="6"/>
        <v>543669.43000000005</v>
      </c>
      <c r="H27" s="26">
        <f t="shared" si="6"/>
        <v>676267.4</v>
      </c>
      <c r="I27" s="26">
        <f t="shared" si="6"/>
        <v>804548.13</v>
      </c>
      <c r="J27" s="26">
        <f t="shared" si="6"/>
        <v>971341.85</v>
      </c>
      <c r="K27" s="26">
        <f t="shared" si="6"/>
        <v>1087659.73</v>
      </c>
      <c r="L27" s="26">
        <f t="shared" si="6"/>
        <v>1194052.56</v>
      </c>
      <c r="M27" s="26">
        <f t="shared" si="6"/>
        <v>1328012.7</v>
      </c>
      <c r="N27" s="144">
        <f t="shared" si="6"/>
        <v>1366005.29</v>
      </c>
    </row>
    <row r="28" spans="1:16" ht="33.75" x14ac:dyDescent="0.2">
      <c r="A28" s="178"/>
      <c r="B28" s="134" t="s">
        <v>16</v>
      </c>
      <c r="C28" s="152">
        <f t="shared" ref="C28:N28" si="7">C9</f>
        <v>-7424.31</v>
      </c>
      <c r="D28" s="152">
        <f t="shared" si="7"/>
        <v>-16237.67</v>
      </c>
      <c r="E28" s="152">
        <f t="shared" si="7"/>
        <v>-45138.400000000001</v>
      </c>
      <c r="F28" s="152">
        <f t="shared" si="7"/>
        <v>-50989.34</v>
      </c>
      <c r="G28" s="159">
        <f t="shared" si="7"/>
        <v>-57159.34</v>
      </c>
      <c r="H28" s="152">
        <f t="shared" si="7"/>
        <v>-97595.48</v>
      </c>
      <c r="I28" s="152">
        <f t="shared" si="7"/>
        <v>-103375.67</v>
      </c>
      <c r="J28" s="152">
        <f t="shared" si="7"/>
        <v>-108948.09</v>
      </c>
      <c r="K28" s="174">
        <f t="shared" si="7"/>
        <v>-54832.77</v>
      </c>
      <c r="L28" s="10">
        <f t="shared" si="7"/>
        <v>-60983.19</v>
      </c>
      <c r="M28" s="10">
        <f t="shared" si="7"/>
        <v>-69488.67</v>
      </c>
      <c r="N28" s="135">
        <f t="shared" si="7"/>
        <v>-75024.350000000006</v>
      </c>
    </row>
    <row r="29" spans="1:16" ht="21" x14ac:dyDescent="0.2">
      <c r="A29" s="178"/>
      <c r="B29" s="143" t="s">
        <v>17</v>
      </c>
      <c r="C29" s="156">
        <f t="shared" ref="C29:N29" si="8">C27+C28</f>
        <v>113815.27</v>
      </c>
      <c r="D29" s="164">
        <f t="shared" si="8"/>
        <v>225922.18</v>
      </c>
      <c r="E29" s="164">
        <f t="shared" si="8"/>
        <v>324177.44999999995</v>
      </c>
      <c r="F29" s="164">
        <f t="shared" si="8"/>
        <v>431460</v>
      </c>
      <c r="G29" s="169">
        <f t="shared" si="8"/>
        <v>486510.09000000008</v>
      </c>
      <c r="H29" s="26">
        <f t="shared" si="8"/>
        <v>578671.92000000004</v>
      </c>
      <c r="I29" s="26">
        <f t="shared" si="8"/>
        <v>701172.46</v>
      </c>
      <c r="J29" s="26">
        <f t="shared" si="8"/>
        <v>862393.76</v>
      </c>
      <c r="K29" s="26">
        <f t="shared" si="8"/>
        <v>1032826.96</v>
      </c>
      <c r="L29" s="26">
        <f t="shared" si="8"/>
        <v>1133069.3700000001</v>
      </c>
      <c r="M29" s="26">
        <f t="shared" si="8"/>
        <v>1258524.03</v>
      </c>
      <c r="N29" s="144">
        <f t="shared" si="8"/>
        <v>1290980.94</v>
      </c>
    </row>
    <row r="30" spans="1:16" ht="33.75" x14ac:dyDescent="0.2">
      <c r="A30" s="178"/>
      <c r="B30" s="134" t="s">
        <v>33</v>
      </c>
      <c r="C30" s="152">
        <f t="shared" ref="C30:N30" si="9">C12</f>
        <v>-949.6</v>
      </c>
      <c r="D30" s="152">
        <f t="shared" si="9"/>
        <v>-3442.6</v>
      </c>
      <c r="E30" s="152">
        <f t="shared" si="9"/>
        <v>-6282.6</v>
      </c>
      <c r="F30" s="152">
        <f t="shared" si="9"/>
        <v>-6632.6</v>
      </c>
      <c r="G30" s="159">
        <f t="shared" si="9"/>
        <v>-12322.6</v>
      </c>
      <c r="H30" s="152">
        <f t="shared" si="9"/>
        <v>-12962.6</v>
      </c>
      <c r="I30" s="152">
        <f t="shared" si="9"/>
        <v>-13843.6</v>
      </c>
      <c r="J30" s="152">
        <f t="shared" si="9"/>
        <v>-15723.6</v>
      </c>
      <c r="K30" s="174">
        <f t="shared" si="9"/>
        <v>-16409.400000000001</v>
      </c>
      <c r="L30" s="10">
        <f t="shared" si="9"/>
        <v>-16409.400000000001</v>
      </c>
      <c r="M30" s="10">
        <f t="shared" si="9"/>
        <v>-20149.400000000001</v>
      </c>
      <c r="N30" s="135">
        <f t="shared" si="9"/>
        <v>-20408.43</v>
      </c>
    </row>
    <row r="31" spans="1:16" x14ac:dyDescent="0.2">
      <c r="A31" s="178"/>
      <c r="B31" s="143" t="s">
        <v>19</v>
      </c>
      <c r="C31" s="156">
        <f t="shared" ref="C31:N31" si="10">C29+C30</f>
        <v>112865.67</v>
      </c>
      <c r="D31" s="156">
        <f t="shared" si="10"/>
        <v>222479.58</v>
      </c>
      <c r="E31" s="156">
        <f t="shared" si="10"/>
        <v>317894.84999999998</v>
      </c>
      <c r="F31" s="164">
        <f t="shared" si="10"/>
        <v>424827.4</v>
      </c>
      <c r="G31" s="169">
        <f t="shared" si="10"/>
        <v>474187.49000000011</v>
      </c>
      <c r="H31" s="26">
        <f t="shared" si="10"/>
        <v>565709.32000000007</v>
      </c>
      <c r="I31" s="26">
        <f t="shared" si="10"/>
        <v>687328.86</v>
      </c>
      <c r="J31" s="26">
        <f t="shared" si="10"/>
        <v>846670.16</v>
      </c>
      <c r="K31" s="26">
        <f t="shared" si="10"/>
        <v>1016417.5599999999</v>
      </c>
      <c r="L31" s="26">
        <f t="shared" si="10"/>
        <v>1116659.9700000002</v>
      </c>
      <c r="M31" s="26">
        <f t="shared" si="10"/>
        <v>1238374.6300000001</v>
      </c>
      <c r="N31" s="144">
        <f t="shared" si="10"/>
        <v>1270572.51</v>
      </c>
    </row>
    <row r="32" spans="1:16" ht="22.5" x14ac:dyDescent="0.2">
      <c r="A32" s="178"/>
      <c r="B32" s="134" t="s">
        <v>20</v>
      </c>
      <c r="C32" s="152">
        <f t="shared" ref="C32:N32" si="11">SUM(C33:C34)</f>
        <v>-25594.43</v>
      </c>
      <c r="D32" s="152">
        <f t="shared" si="11"/>
        <v>-43142.020000000004</v>
      </c>
      <c r="E32" s="152">
        <f t="shared" si="11"/>
        <v>-60686.670000000006</v>
      </c>
      <c r="F32" s="152">
        <f t="shared" si="11"/>
        <v>-81685.47</v>
      </c>
      <c r="G32" s="159">
        <f t="shared" si="11"/>
        <v>-99821.89</v>
      </c>
      <c r="H32" s="152">
        <f t="shared" si="11"/>
        <v>-113026.16</v>
      </c>
      <c r="I32" s="152">
        <f t="shared" si="11"/>
        <v>-133438.07</v>
      </c>
      <c r="J32" s="152">
        <f t="shared" si="11"/>
        <v>-154599</v>
      </c>
      <c r="K32" s="174">
        <f t="shared" si="11"/>
        <v>-176133.74</v>
      </c>
      <c r="L32" s="10">
        <f t="shared" si="11"/>
        <v>-199533.34999999998</v>
      </c>
      <c r="M32" s="10">
        <f t="shared" si="11"/>
        <v>-221422.33000000002</v>
      </c>
      <c r="N32" s="135">
        <f t="shared" si="11"/>
        <v>-247820.25000000003</v>
      </c>
    </row>
    <row r="33" spans="1:14" ht="22.5" x14ac:dyDescent="0.2">
      <c r="A33" s="178"/>
      <c r="B33" s="134" t="s">
        <v>21</v>
      </c>
      <c r="C33" s="152">
        <f>C15</f>
        <v>0</v>
      </c>
      <c r="D33" s="152">
        <f t="shared" ref="D33:N33" si="12">D15</f>
        <v>0</v>
      </c>
      <c r="E33" s="152">
        <f t="shared" si="12"/>
        <v>0</v>
      </c>
      <c r="F33" s="159">
        <f t="shared" si="12"/>
        <v>0</v>
      </c>
      <c r="G33" s="159">
        <f t="shared" si="12"/>
        <v>0</v>
      </c>
      <c r="H33" s="10">
        <f t="shared" si="12"/>
        <v>0</v>
      </c>
      <c r="I33" s="10">
        <f t="shared" si="12"/>
        <v>0</v>
      </c>
      <c r="J33" s="10">
        <f t="shared" si="12"/>
        <v>0</v>
      </c>
      <c r="K33" s="10">
        <f t="shared" si="12"/>
        <v>0</v>
      </c>
      <c r="L33" s="10">
        <f t="shared" si="12"/>
        <v>0</v>
      </c>
      <c r="M33" s="10">
        <f t="shared" si="12"/>
        <v>0</v>
      </c>
      <c r="N33" s="135">
        <f t="shared" si="12"/>
        <v>0</v>
      </c>
    </row>
    <row r="34" spans="1:14" ht="22.5" x14ac:dyDescent="0.2">
      <c r="A34" s="178"/>
      <c r="B34" s="134" t="s">
        <v>22</v>
      </c>
      <c r="C34" s="152">
        <f>SUM(C16)</f>
        <v>-25594.43</v>
      </c>
      <c r="D34" s="152">
        <f t="shared" ref="D34:N34" si="13">D16</f>
        <v>-43142.020000000004</v>
      </c>
      <c r="E34" s="152">
        <f t="shared" si="13"/>
        <v>-60686.670000000006</v>
      </c>
      <c r="F34" s="152">
        <f t="shared" si="13"/>
        <v>-81685.47</v>
      </c>
      <c r="G34" s="159">
        <f t="shared" si="13"/>
        <v>-99821.89</v>
      </c>
      <c r="H34" s="152">
        <f t="shared" si="13"/>
        <v>-113026.16</v>
      </c>
      <c r="I34" s="152">
        <f t="shared" si="13"/>
        <v>-133438.07</v>
      </c>
      <c r="J34" s="152">
        <f t="shared" si="13"/>
        <v>-154599</v>
      </c>
      <c r="K34" s="175">
        <f t="shared" si="13"/>
        <v>-176133.74</v>
      </c>
      <c r="L34" s="174">
        <f t="shared" si="13"/>
        <v>-199533.34999999998</v>
      </c>
      <c r="M34" s="10">
        <f t="shared" si="13"/>
        <v>-221422.33000000002</v>
      </c>
      <c r="N34" s="135">
        <f t="shared" si="13"/>
        <v>-247820.25000000003</v>
      </c>
    </row>
    <row r="35" spans="1:14" x14ac:dyDescent="0.2">
      <c r="A35" s="178"/>
      <c r="B35" s="145" t="s">
        <v>34</v>
      </c>
      <c r="C35" s="157">
        <f t="shared" ref="C35:N35" si="14">C31+C32</f>
        <v>87271.239999999991</v>
      </c>
      <c r="D35" s="165">
        <f t="shared" si="14"/>
        <v>179337.56</v>
      </c>
      <c r="E35" s="165">
        <f t="shared" si="14"/>
        <v>257208.17999999996</v>
      </c>
      <c r="F35" s="165">
        <f t="shared" si="14"/>
        <v>343141.93000000005</v>
      </c>
      <c r="G35" s="170">
        <f t="shared" si="14"/>
        <v>374365.60000000009</v>
      </c>
      <c r="H35" s="29">
        <f t="shared" si="14"/>
        <v>452683.16000000003</v>
      </c>
      <c r="I35" s="29">
        <f t="shared" si="14"/>
        <v>553890.79</v>
      </c>
      <c r="J35" s="29">
        <f t="shared" si="14"/>
        <v>692071.16</v>
      </c>
      <c r="K35" s="29">
        <f t="shared" si="14"/>
        <v>840283.82</v>
      </c>
      <c r="L35" s="29">
        <f t="shared" si="14"/>
        <v>917126.62000000023</v>
      </c>
      <c r="M35" s="29">
        <f t="shared" si="14"/>
        <v>1016952.3</v>
      </c>
      <c r="N35" s="146">
        <f t="shared" si="14"/>
        <v>1022752.26</v>
      </c>
    </row>
    <row r="36" spans="1:14" x14ac:dyDescent="0.2">
      <c r="A36" s="178"/>
      <c r="B36" s="134" t="s">
        <v>35</v>
      </c>
      <c r="C36" s="152">
        <v>4173.51</v>
      </c>
      <c r="D36" s="159">
        <v>4173.51</v>
      </c>
      <c r="E36" s="159">
        <v>12520.53</v>
      </c>
      <c r="F36" s="159">
        <v>16694.04</v>
      </c>
      <c r="G36" s="159">
        <v>19780.759999999998</v>
      </c>
      <c r="H36" s="10">
        <v>18263.96</v>
      </c>
      <c r="I36" s="10">
        <v>22437.47</v>
      </c>
      <c r="J36" s="10">
        <v>26615.98</v>
      </c>
      <c r="K36" s="10">
        <v>30794.69</v>
      </c>
      <c r="L36" s="10">
        <v>34924.870000000003</v>
      </c>
      <c r="M36" s="10">
        <v>39068.85</v>
      </c>
      <c r="N36" s="135">
        <v>43212.83</v>
      </c>
    </row>
    <row r="37" spans="1:14" x14ac:dyDescent="0.2">
      <c r="A37" s="178"/>
      <c r="B37" s="145" t="s">
        <v>36</v>
      </c>
      <c r="C37" s="157">
        <f t="shared" ref="C37:N37" si="15">C35+C36</f>
        <v>91444.749999999985</v>
      </c>
      <c r="D37" s="165">
        <f t="shared" si="15"/>
        <v>183511.07</v>
      </c>
      <c r="E37" s="126">
        <f t="shared" si="15"/>
        <v>269728.70999999996</v>
      </c>
      <c r="F37" s="126">
        <f t="shared" si="15"/>
        <v>359835.97000000003</v>
      </c>
      <c r="G37" s="170">
        <f t="shared" si="15"/>
        <v>394146.3600000001</v>
      </c>
      <c r="H37" s="29">
        <f t="shared" si="15"/>
        <v>470947.12000000005</v>
      </c>
      <c r="I37" s="29">
        <f t="shared" si="15"/>
        <v>576328.26</v>
      </c>
      <c r="J37" s="29">
        <f t="shared" si="15"/>
        <v>718687.14</v>
      </c>
      <c r="K37" s="29">
        <f t="shared" si="15"/>
        <v>871078.50999999989</v>
      </c>
      <c r="L37" s="29">
        <f t="shared" si="15"/>
        <v>952051.49000000022</v>
      </c>
      <c r="M37" s="29">
        <f t="shared" si="15"/>
        <v>1056021.1500000001</v>
      </c>
      <c r="N37" s="146">
        <f t="shared" si="15"/>
        <v>1065965.0900000001</v>
      </c>
    </row>
    <row r="38" spans="1:14" x14ac:dyDescent="0.2">
      <c r="A38" s="178"/>
      <c r="B38" s="147" t="s">
        <v>37</v>
      </c>
      <c r="C38" s="32" t="s">
        <v>38</v>
      </c>
      <c r="D38" s="33">
        <f t="shared" ref="D38:N38" si="16">D37/C37-1</f>
        <v>1.0067972190858416</v>
      </c>
      <c r="E38" s="33">
        <f t="shared" si="16"/>
        <v>0.46982255620873414</v>
      </c>
      <c r="F38" s="33">
        <f t="shared" si="16"/>
        <v>0.33406625494186382</v>
      </c>
      <c r="G38" s="176">
        <f t="shared" si="16"/>
        <v>9.5350084095261689E-2</v>
      </c>
      <c r="H38" s="33">
        <f t="shared" si="16"/>
        <v>0.1948534042024388</v>
      </c>
      <c r="I38" s="33">
        <f t="shared" si="16"/>
        <v>0.22376427315236569</v>
      </c>
      <c r="J38" s="33">
        <f t="shared" si="16"/>
        <v>0.24701006332745168</v>
      </c>
      <c r="K38" s="33">
        <f>K37/J37-1</f>
        <v>0.21204132023289013</v>
      </c>
      <c r="L38" s="33">
        <f>L37/K37-1</f>
        <v>9.2957154918217766E-2</v>
      </c>
      <c r="M38" s="33">
        <f t="shared" si="16"/>
        <v>0.10920592120495498</v>
      </c>
      <c r="N38" s="83">
        <f t="shared" si="16"/>
        <v>9.4164212525478241E-3</v>
      </c>
    </row>
    <row r="39" spans="1:14" x14ac:dyDescent="0.2">
      <c r="A39" s="178"/>
      <c r="B39" s="147" t="s">
        <v>39</v>
      </c>
      <c r="C39" s="32"/>
      <c r="D39" s="35">
        <f>1*(D38/100+1)</f>
        <v>1.0100679721908583</v>
      </c>
      <c r="E39" s="35">
        <f t="shared" ref="E39:N39" si="17">D39*(E38/100+1)</f>
        <v>1.0148134993572511</v>
      </c>
      <c r="F39" s="35">
        <f t="shared" si="17"/>
        <v>1.0182036488091983</v>
      </c>
      <c r="G39" s="171">
        <f t="shared" si="17"/>
        <v>1.019174506844599</v>
      </c>
      <c r="H39" s="35">
        <f t="shared" si="17"/>
        <v>1.0211604030659491</v>
      </c>
      <c r="I39" s="35">
        <f t="shared" si="17"/>
        <v>1.0234453952195894</v>
      </c>
      <c r="J39" s="35">
        <f t="shared" si="17"/>
        <v>1.0259734083384433</v>
      </c>
      <c r="K39" s="35">
        <f t="shared" si="17"/>
        <v>1.0281488958987226</v>
      </c>
      <c r="L39" s="35">
        <f t="shared" si="17"/>
        <v>1.0291046338606731</v>
      </c>
      <c r="M39" s="35">
        <f t="shared" si="17"/>
        <v>1.0302284770562435</v>
      </c>
      <c r="N39" s="84">
        <f t="shared" si="17"/>
        <v>1.0303254877095067</v>
      </c>
    </row>
    <row r="40" spans="1:14" ht="13.5" thickBot="1" x14ac:dyDescent="0.25">
      <c r="A40" s="178"/>
      <c r="B40" s="148" t="s">
        <v>39</v>
      </c>
      <c r="C40" s="149" t="s">
        <v>38</v>
      </c>
      <c r="D40" s="150">
        <f t="shared" ref="D40:N40" si="18">D39-1</f>
        <v>1.006797219085831E-2</v>
      </c>
      <c r="E40" s="150">
        <f t="shared" si="18"/>
        <v>1.481349935725107E-2</v>
      </c>
      <c r="F40" s="150">
        <f t="shared" si="18"/>
        <v>1.8203648809198336E-2</v>
      </c>
      <c r="G40" s="172">
        <f t="shared" si="18"/>
        <v>1.9174506844598982E-2</v>
      </c>
      <c r="H40" s="150">
        <f t="shared" si="18"/>
        <v>2.1160403065949129E-2</v>
      </c>
      <c r="I40" s="150">
        <f t="shared" si="18"/>
        <v>2.3445395219589438E-2</v>
      </c>
      <c r="J40" s="150">
        <f t="shared" si="18"/>
        <v>2.5973408338443305E-2</v>
      </c>
      <c r="K40" s="150">
        <f t="shared" si="18"/>
        <v>2.8148895898722603E-2</v>
      </c>
      <c r="L40" s="150">
        <f t="shared" si="18"/>
        <v>2.9104633860673079E-2</v>
      </c>
      <c r="M40" s="150">
        <f t="shared" si="18"/>
        <v>3.0228477056243541E-2</v>
      </c>
      <c r="N40" s="85">
        <f t="shared" si="18"/>
        <v>3.0325487709506715E-2</v>
      </c>
    </row>
    <row r="43" spans="1:14" x14ac:dyDescent="0.2">
      <c r="G43" s="166">
        <f>D37/C37-1</f>
        <v>1.0067972190858416</v>
      </c>
    </row>
    <row r="47" spans="1:14" x14ac:dyDescent="0.2">
      <c r="I47" s="173"/>
    </row>
    <row r="57" spans="8:8" x14ac:dyDescent="0.2">
      <c r="H57" s="2">
        <v>47617.04</v>
      </c>
    </row>
    <row r="58" spans="8:8" x14ac:dyDescent="0.2">
      <c r="H58" s="2">
        <v>11526.98</v>
      </c>
    </row>
    <row r="59" spans="8:8" x14ac:dyDescent="0.2">
      <c r="H59" s="2">
        <v>61193.919999999998</v>
      </c>
    </row>
    <row r="60" spans="8:8" x14ac:dyDescent="0.2">
      <c r="H60" s="2">
        <v>2205.54</v>
      </c>
    </row>
    <row r="61" spans="8:8" x14ac:dyDescent="0.2">
      <c r="H61" s="2">
        <v>25700.639999999999</v>
      </c>
    </row>
    <row r="62" spans="8:8" x14ac:dyDescent="0.2">
      <c r="H62" s="2">
        <v>6354.88</v>
      </c>
    </row>
  </sheetData>
  <mergeCells count="2">
    <mergeCell ref="B5:N5"/>
    <mergeCell ref="C6:N6"/>
  </mergeCells>
  <phoneticPr fontId="0" type="noConversion"/>
  <pageMargins left="0.28999999999999998" right="0.23622047244094491" top="0.86614173228346458" bottom="0.98425196850393704" header="0.98425196850393704" footer="0.51181102362204722"/>
  <pageSetup paperSize="9" scale="67" orientation="portrait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62"/>
  <sheetViews>
    <sheetView zoomScaleNormal="100" workbookViewId="0">
      <selection activeCell="P26" sqref="P26"/>
    </sheetView>
  </sheetViews>
  <sheetFormatPr defaultColWidth="11.5703125" defaultRowHeight="12.75" x14ac:dyDescent="0.2"/>
  <cols>
    <col min="1" max="1" width="6.42578125" style="2" customWidth="1"/>
    <col min="2" max="2" width="18.42578125" style="2" bestFit="1" customWidth="1"/>
    <col min="3" max="3" width="10.5703125" style="2" bestFit="1" customWidth="1"/>
    <col min="4" max="5" width="10" style="2" bestFit="1" customWidth="1"/>
    <col min="6" max="6" width="9.85546875" style="2" customWidth="1"/>
    <col min="7" max="7" width="10.42578125" style="166" bestFit="1" customWidth="1"/>
    <col min="8" max="12" width="10.85546875" style="2" bestFit="1" customWidth="1"/>
    <col min="13" max="13" width="12.42578125" style="2" bestFit="1" customWidth="1"/>
    <col min="14" max="14" width="10.85546875" style="2" customWidth="1"/>
    <col min="15" max="15" width="11.5703125" style="2"/>
    <col min="16" max="16" width="12.28515625" style="2" bestFit="1" customWidth="1"/>
    <col min="17" max="16384" width="11.5703125" style="2"/>
  </cols>
  <sheetData>
    <row r="1" spans="1:14" x14ac:dyDescent="0.2">
      <c r="A1" s="178"/>
      <c r="B1" s="178"/>
      <c r="C1" s="178"/>
      <c r="D1" s="178"/>
      <c r="E1" s="178"/>
      <c r="F1" s="178"/>
      <c r="G1" s="179"/>
      <c r="H1" s="178"/>
      <c r="I1" s="178"/>
      <c r="J1" s="178"/>
      <c r="K1" s="178"/>
      <c r="L1" s="178"/>
      <c r="M1" s="178"/>
      <c r="N1" s="178"/>
    </row>
    <row r="2" spans="1:14" ht="18.75" x14ac:dyDescent="0.3">
      <c r="A2" s="178"/>
      <c r="B2" s="180" t="s">
        <v>44</v>
      </c>
      <c r="C2" s="178"/>
      <c r="D2" s="178"/>
      <c r="E2" s="178"/>
      <c r="F2" s="178"/>
      <c r="G2" s="179"/>
      <c r="H2" s="178"/>
      <c r="I2" s="178"/>
      <c r="J2" s="178"/>
      <c r="K2" s="178"/>
      <c r="L2" s="178"/>
      <c r="M2" s="178"/>
      <c r="N2" s="178"/>
    </row>
    <row r="3" spans="1:14" x14ac:dyDescent="0.2">
      <c r="A3" s="178"/>
      <c r="B3" s="178"/>
      <c r="C3" s="178"/>
      <c r="D3" s="178"/>
      <c r="E3" s="178"/>
      <c r="F3" s="178"/>
      <c r="G3" s="179"/>
      <c r="H3" s="178"/>
      <c r="I3" s="178"/>
      <c r="J3" s="178"/>
      <c r="K3" s="178"/>
      <c r="L3" s="178"/>
      <c r="M3" s="178"/>
      <c r="N3" s="178"/>
    </row>
    <row r="4" spans="1:14" ht="13.5" thickBot="1" x14ac:dyDescent="0.25">
      <c r="A4" s="178"/>
      <c r="B4" s="178"/>
      <c r="C4" s="178"/>
      <c r="D4" s="178"/>
      <c r="E4" s="178"/>
      <c r="F4" s="178"/>
      <c r="G4" s="179"/>
      <c r="H4" s="178"/>
      <c r="I4" s="178"/>
      <c r="J4" s="178"/>
      <c r="K4" s="178"/>
      <c r="L4" s="178"/>
      <c r="M4" s="178"/>
      <c r="N4" s="178"/>
    </row>
    <row r="5" spans="1:14" ht="25.5" customHeight="1" thickBot="1" x14ac:dyDescent="0.25">
      <c r="A5" s="178"/>
      <c r="B5" s="192" t="s">
        <v>47</v>
      </c>
      <c r="C5" s="193"/>
      <c r="D5" s="193"/>
      <c r="E5" s="193"/>
      <c r="F5" s="193"/>
      <c r="G5" s="193"/>
      <c r="H5" s="193"/>
      <c r="I5" s="193"/>
      <c r="J5" s="193"/>
      <c r="K5" s="193"/>
      <c r="L5" s="193"/>
      <c r="M5" s="193"/>
      <c r="N5" s="194"/>
    </row>
    <row r="6" spans="1:14" x14ac:dyDescent="0.2">
      <c r="A6" s="178"/>
      <c r="B6" s="129" t="s">
        <v>0</v>
      </c>
      <c r="C6" s="188" t="s">
        <v>1</v>
      </c>
      <c r="D6" s="188"/>
      <c r="E6" s="188"/>
      <c r="F6" s="188"/>
      <c r="G6" s="188"/>
      <c r="H6" s="188"/>
      <c r="I6" s="188"/>
      <c r="J6" s="188"/>
      <c r="K6" s="188"/>
      <c r="L6" s="188"/>
      <c r="M6" s="188"/>
      <c r="N6" s="195"/>
    </row>
    <row r="7" spans="1:14" x14ac:dyDescent="0.2">
      <c r="A7" s="178"/>
      <c r="B7" s="130" t="s">
        <v>2</v>
      </c>
      <c r="C7" s="4" t="s">
        <v>3</v>
      </c>
      <c r="D7" s="4" t="s">
        <v>4</v>
      </c>
      <c r="E7" s="4" t="s">
        <v>5</v>
      </c>
      <c r="F7" s="4" t="s">
        <v>6</v>
      </c>
      <c r="G7" s="167" t="s">
        <v>7</v>
      </c>
      <c r="H7" s="4" t="s">
        <v>8</v>
      </c>
      <c r="I7" s="4" t="s">
        <v>9</v>
      </c>
      <c r="J7" s="4" t="s">
        <v>10</v>
      </c>
      <c r="K7" s="4" t="s">
        <v>11</v>
      </c>
      <c r="L7" s="4" t="s">
        <v>12</v>
      </c>
      <c r="M7" s="4" t="s">
        <v>13</v>
      </c>
      <c r="N7" s="131" t="s">
        <v>14</v>
      </c>
    </row>
    <row r="8" spans="1:14" ht="21" x14ac:dyDescent="0.2">
      <c r="A8" s="178"/>
      <c r="B8" s="132" t="s">
        <v>15</v>
      </c>
      <c r="C8" s="151">
        <v>40966.17</v>
      </c>
      <c r="D8" s="158">
        <v>100135.26</v>
      </c>
      <c r="E8" s="122">
        <v>134510.26999999999</v>
      </c>
      <c r="F8" s="122">
        <v>111034.5</v>
      </c>
      <c r="G8" s="168">
        <v>125369.59</v>
      </c>
      <c r="H8" s="127">
        <v>94050.61</v>
      </c>
      <c r="I8" s="127">
        <v>167679.76999999999</v>
      </c>
      <c r="J8" s="127">
        <v>163798.21</v>
      </c>
      <c r="K8" s="127">
        <v>116899.09</v>
      </c>
      <c r="L8" s="127">
        <v>111180.27</v>
      </c>
      <c r="M8" s="127">
        <v>210414.79</v>
      </c>
      <c r="N8" s="133">
        <v>107937.48</v>
      </c>
    </row>
    <row r="9" spans="1:14" ht="33.75" x14ac:dyDescent="0.2">
      <c r="A9" s="178"/>
      <c r="B9" s="134" t="s">
        <v>16</v>
      </c>
      <c r="C9" s="152">
        <v>-3880.22</v>
      </c>
      <c r="D9" s="152">
        <v>-5829.95</v>
      </c>
      <c r="E9" s="152">
        <v>-3870.29</v>
      </c>
      <c r="F9" s="152">
        <v>-3196.56</v>
      </c>
      <c r="G9" s="152">
        <v>-6340.44</v>
      </c>
      <c r="H9" s="152">
        <v>-6622.29</v>
      </c>
      <c r="I9" s="152">
        <v>-6037.67</v>
      </c>
      <c r="J9" s="152">
        <v>-8664.77</v>
      </c>
      <c r="K9" s="152">
        <v>-5636.43</v>
      </c>
      <c r="L9" s="152">
        <v>-7331.21</v>
      </c>
      <c r="M9" s="177">
        <v>-10483</v>
      </c>
      <c r="N9" s="177">
        <v>-6288.94</v>
      </c>
    </row>
    <row r="10" spans="1:14" x14ac:dyDescent="0.2">
      <c r="A10" s="178"/>
      <c r="B10" s="134" t="s">
        <v>40</v>
      </c>
      <c r="C10" s="152">
        <v>1.24</v>
      </c>
      <c r="D10" s="159">
        <v>7.95</v>
      </c>
      <c r="E10" s="10">
        <v>2048.87</v>
      </c>
      <c r="F10" s="10"/>
      <c r="G10" s="159">
        <v>74.16</v>
      </c>
      <c r="H10" s="10">
        <v>2.79</v>
      </c>
      <c r="I10" s="10"/>
      <c r="J10" s="10"/>
      <c r="K10" s="10"/>
      <c r="L10" s="10"/>
      <c r="M10" s="10"/>
      <c r="N10" s="135"/>
    </row>
    <row r="11" spans="1:14" ht="21" x14ac:dyDescent="0.2">
      <c r="A11" s="178"/>
      <c r="B11" s="132" t="s">
        <v>17</v>
      </c>
      <c r="C11" s="151">
        <f t="shared" ref="C11:N11" si="0">SUM(C8:C10)</f>
        <v>37087.189999999995</v>
      </c>
      <c r="D11" s="158">
        <f t="shared" si="0"/>
        <v>94313.26</v>
      </c>
      <c r="E11" s="122">
        <f t="shared" si="0"/>
        <v>132688.85</v>
      </c>
      <c r="F11" s="122">
        <f t="shared" si="0"/>
        <v>107837.94</v>
      </c>
      <c r="G11" s="168">
        <f t="shared" si="0"/>
        <v>119103.31</v>
      </c>
      <c r="H11" s="127">
        <f t="shared" si="0"/>
        <v>87431.11</v>
      </c>
      <c r="I11" s="127">
        <f t="shared" si="0"/>
        <v>161642.09999999998</v>
      </c>
      <c r="J11" s="127">
        <f t="shared" si="0"/>
        <v>155133.44</v>
      </c>
      <c r="K11" s="127">
        <f t="shared" si="0"/>
        <v>111262.66</v>
      </c>
      <c r="L11" s="127">
        <f t="shared" si="0"/>
        <v>103849.06</v>
      </c>
      <c r="M11" s="127">
        <f t="shared" si="0"/>
        <v>199931.79</v>
      </c>
      <c r="N11" s="133">
        <f t="shared" si="0"/>
        <v>101648.54</v>
      </c>
    </row>
    <row r="12" spans="1:14" ht="33.75" x14ac:dyDescent="0.2">
      <c r="A12" s="178"/>
      <c r="B12" s="134" t="s">
        <v>18</v>
      </c>
      <c r="C12" s="152">
        <v>-300</v>
      </c>
      <c r="D12" s="152"/>
      <c r="E12" s="152">
        <v>-10283.790000000001</v>
      </c>
      <c r="F12" s="152">
        <v>-2047.5</v>
      </c>
      <c r="G12" s="152">
        <v>-21675.65</v>
      </c>
      <c r="H12" s="152">
        <v>-1600</v>
      </c>
      <c r="I12" s="152">
        <v>-15953.41</v>
      </c>
      <c r="J12" s="152">
        <v>-2810.3</v>
      </c>
      <c r="K12" s="152">
        <v>-730</v>
      </c>
      <c r="L12" s="152">
        <v>-11589.84</v>
      </c>
      <c r="M12" s="175">
        <v>-5195</v>
      </c>
      <c r="N12" s="175">
        <v>-657.72</v>
      </c>
    </row>
    <row r="13" spans="1:14" x14ac:dyDescent="0.2">
      <c r="A13" s="178"/>
      <c r="B13" s="132" t="s">
        <v>19</v>
      </c>
      <c r="C13" s="151">
        <f t="shared" ref="C13:N13" si="1">C11+C12</f>
        <v>36787.189999999995</v>
      </c>
      <c r="D13" s="158">
        <f t="shared" si="1"/>
        <v>94313.26</v>
      </c>
      <c r="E13" s="122">
        <f t="shared" si="1"/>
        <v>122405.06</v>
      </c>
      <c r="F13" s="122">
        <f t="shared" si="1"/>
        <v>105790.44</v>
      </c>
      <c r="G13" s="168">
        <f t="shared" si="1"/>
        <v>97427.66</v>
      </c>
      <c r="H13" s="127">
        <f t="shared" si="1"/>
        <v>85831.11</v>
      </c>
      <c r="I13" s="127">
        <f t="shared" si="1"/>
        <v>145688.68999999997</v>
      </c>
      <c r="J13" s="127">
        <f t="shared" si="1"/>
        <v>152323.14000000001</v>
      </c>
      <c r="K13" s="127">
        <f t="shared" si="1"/>
        <v>110532.66</v>
      </c>
      <c r="L13" s="127">
        <f t="shared" si="1"/>
        <v>92259.22</v>
      </c>
      <c r="M13" s="127">
        <f t="shared" si="1"/>
        <v>194736.79</v>
      </c>
      <c r="N13" s="133">
        <f t="shared" si="1"/>
        <v>100990.81999999999</v>
      </c>
    </row>
    <row r="14" spans="1:14" ht="22.5" x14ac:dyDescent="0.2">
      <c r="A14" s="178"/>
      <c r="B14" s="136" t="s">
        <v>20</v>
      </c>
      <c r="C14" s="153">
        <f>SUM(C16:C18)</f>
        <v>-28383.82</v>
      </c>
      <c r="D14" s="153">
        <f>SUM(D16:D18)</f>
        <v>-19146.399999999998</v>
      </c>
      <c r="E14" s="153">
        <f>SUM(E16:E18)</f>
        <v>-21908.2</v>
      </c>
      <c r="F14" s="153">
        <f>SUM(F16:F18)</f>
        <v>-21508.619999999995</v>
      </c>
      <c r="G14" s="153">
        <f>SUM(G16:G18)</f>
        <v>-25440.45</v>
      </c>
      <c r="H14" s="152">
        <f t="shared" ref="H14:N14" si="2">SUM(H15:H18)</f>
        <v>-30785.739999999998</v>
      </c>
      <c r="I14" s="152">
        <v>-40107.440000000002</v>
      </c>
      <c r="J14" s="152">
        <f t="shared" si="2"/>
        <v>-21294.329999999998</v>
      </c>
      <c r="K14" s="152">
        <f t="shared" si="2"/>
        <v>-25003.41</v>
      </c>
      <c r="L14" s="174">
        <f t="shared" si="2"/>
        <v>-24745.17</v>
      </c>
      <c r="M14" s="174">
        <f t="shared" si="2"/>
        <v>-26270.57</v>
      </c>
      <c r="N14" s="174">
        <f t="shared" si="2"/>
        <v>-27989.579999999994</v>
      </c>
    </row>
    <row r="15" spans="1:14" ht="22.5" x14ac:dyDescent="0.2">
      <c r="A15" s="178"/>
      <c r="B15" s="134" t="s">
        <v>21</v>
      </c>
      <c r="C15" s="159">
        <v>0</v>
      </c>
      <c r="D15" s="159">
        <v>0</v>
      </c>
      <c r="E15" s="10">
        <v>0</v>
      </c>
      <c r="F15" s="10">
        <v>0</v>
      </c>
      <c r="G15" s="159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35">
        <v>0</v>
      </c>
    </row>
    <row r="16" spans="1:14" ht="22.5" x14ac:dyDescent="0.2">
      <c r="A16" s="178"/>
      <c r="B16" s="134" t="s">
        <v>22</v>
      </c>
      <c r="C16" s="152">
        <f>-5942.7-1394.16-7145.3-2826.56-10919.25</f>
        <v>-28227.97</v>
      </c>
      <c r="D16" s="152">
        <f>-7760.86-1913.67-6979.95-243.8-524.31-1371.85-179.36</f>
        <v>-18973.8</v>
      </c>
      <c r="E16" s="152">
        <f>-8207.86-1598.47-7340.07-4442.85-188.5</f>
        <v>-21777.75</v>
      </c>
      <c r="F16" s="152">
        <f>-6614-1823.14-7291.66-5368.26-306.85</f>
        <v>-21403.909999999996</v>
      </c>
      <c r="G16" s="152">
        <f>-7399.06-2507.45-9135.92-168.86-5679.43-466.94</f>
        <v>-25357.66</v>
      </c>
      <c r="H16" s="152">
        <f>-11949.77-2945.72-10915.92-320.98-4255.77-314.44</f>
        <v>-30702.6</v>
      </c>
      <c r="I16" s="152">
        <v>-8795.2099999999991</v>
      </c>
      <c r="J16" s="152">
        <f>-8770.69-9371.55-10-1017.73-2018.06</f>
        <v>-21188.03</v>
      </c>
      <c r="K16" s="174">
        <f>-8418.73-1187.02-1324.59-13939.43-2.71</f>
        <v>-24872.48</v>
      </c>
      <c r="L16" s="175">
        <f>-9362.78-1787.22-7173.93-5948.92</f>
        <v>-24272.85</v>
      </c>
      <c r="M16" s="175">
        <f>-15476.34-10659.38</f>
        <v>-26135.72</v>
      </c>
      <c r="N16" s="182">
        <f>-8821.67-3452.99-8627.19-2285.69-4691.78</f>
        <v>-27879.319999999996</v>
      </c>
    </row>
    <row r="17" spans="1:16" ht="22.5" x14ac:dyDescent="0.2">
      <c r="A17" s="178"/>
      <c r="B17" s="134" t="s">
        <v>23</v>
      </c>
      <c r="C17" s="152">
        <v>-155.85</v>
      </c>
      <c r="D17" s="152">
        <v>-172.6</v>
      </c>
      <c r="E17" s="152">
        <v>-130.44999999999999</v>
      </c>
      <c r="F17" s="152">
        <v>-104.71</v>
      </c>
      <c r="G17" s="152">
        <v>-82.79</v>
      </c>
      <c r="H17" s="152">
        <v>-83.14</v>
      </c>
      <c r="I17" s="152">
        <v>-148.6</v>
      </c>
      <c r="J17" s="152">
        <v>-106.3</v>
      </c>
      <c r="K17" s="152">
        <v>-130.93</v>
      </c>
      <c r="L17" s="152">
        <v>-472.32</v>
      </c>
      <c r="M17" s="152">
        <v>-134.85</v>
      </c>
      <c r="N17" s="152">
        <v>-110.26</v>
      </c>
    </row>
    <row r="18" spans="1:16" x14ac:dyDescent="0.2">
      <c r="A18" s="178"/>
      <c r="B18" s="134" t="s">
        <v>24</v>
      </c>
      <c r="C18" s="155" t="s">
        <v>25</v>
      </c>
      <c r="D18" s="155" t="s">
        <v>25</v>
      </c>
      <c r="E18" s="12"/>
      <c r="F18" s="12"/>
      <c r="G18" s="160"/>
      <c r="H18" s="12"/>
      <c r="I18" s="12"/>
      <c r="J18" s="12"/>
      <c r="K18" s="12"/>
      <c r="L18" s="12"/>
      <c r="M18" s="12"/>
      <c r="N18" s="137"/>
    </row>
    <row r="19" spans="1:16" x14ac:dyDescent="0.2">
      <c r="A19" s="178"/>
      <c r="B19" s="134" t="s">
        <v>26</v>
      </c>
      <c r="C19" s="152">
        <f t="shared" ref="C19:N19" si="3">C13+C14</f>
        <v>8403.3699999999953</v>
      </c>
      <c r="D19" s="159">
        <f t="shared" si="3"/>
        <v>75166.86</v>
      </c>
      <c r="E19" s="10">
        <f t="shared" si="3"/>
        <v>100496.86</v>
      </c>
      <c r="F19" s="10">
        <f t="shared" si="3"/>
        <v>84281.82</v>
      </c>
      <c r="G19" s="159">
        <f t="shared" si="3"/>
        <v>71987.210000000006</v>
      </c>
      <c r="H19" s="10">
        <f t="shared" si="3"/>
        <v>55045.37</v>
      </c>
      <c r="I19" s="10">
        <f t="shared" si="3"/>
        <v>105581.24999999997</v>
      </c>
      <c r="J19" s="10">
        <f t="shared" si="3"/>
        <v>131028.81000000001</v>
      </c>
      <c r="K19" s="10">
        <f t="shared" si="3"/>
        <v>85529.25</v>
      </c>
      <c r="L19" s="10">
        <f t="shared" si="3"/>
        <v>67514.05</v>
      </c>
      <c r="M19" s="10">
        <f t="shared" si="3"/>
        <v>168466.22</v>
      </c>
      <c r="N19" s="135">
        <f t="shared" si="3"/>
        <v>73001.239999999991</v>
      </c>
    </row>
    <row r="20" spans="1:16" ht="33.75" x14ac:dyDescent="0.2">
      <c r="A20" s="178"/>
      <c r="B20" s="134" t="s">
        <v>27</v>
      </c>
      <c r="C20" s="152">
        <v>251.38</v>
      </c>
      <c r="D20" s="159">
        <v>241.07</v>
      </c>
      <c r="E20" s="10">
        <v>252.3</v>
      </c>
      <c r="F20" s="10">
        <v>277.47000000000003</v>
      </c>
      <c r="G20" s="159">
        <v>278.72000000000003</v>
      </c>
      <c r="H20" s="10">
        <f>274.57</f>
        <v>274.57</v>
      </c>
      <c r="I20" s="10">
        <v>310.25</v>
      </c>
      <c r="J20" s="10">
        <f>310.25-68.1</f>
        <v>242.15</v>
      </c>
      <c r="K20" s="10">
        <v>294.08</v>
      </c>
      <c r="L20" s="10">
        <v>302.16000000000003</v>
      </c>
      <c r="M20" s="10">
        <v>285.2</v>
      </c>
      <c r="N20" s="135">
        <v>285.94</v>
      </c>
    </row>
    <row r="21" spans="1:16" ht="21" x14ac:dyDescent="0.2">
      <c r="A21" s="178"/>
      <c r="B21" s="132" t="s">
        <v>28</v>
      </c>
      <c r="C21" s="151">
        <f t="shared" ref="C21:N21" si="4">C19+C20</f>
        <v>8654.7499999999945</v>
      </c>
      <c r="D21" s="158">
        <f t="shared" si="4"/>
        <v>75407.930000000008</v>
      </c>
      <c r="E21" s="122">
        <f t="shared" si="4"/>
        <v>100749.16</v>
      </c>
      <c r="F21" s="122">
        <f t="shared" si="4"/>
        <v>84559.290000000008</v>
      </c>
      <c r="G21" s="168">
        <f t="shared" si="4"/>
        <v>72265.930000000008</v>
      </c>
      <c r="H21" s="127">
        <f t="shared" si="4"/>
        <v>55319.94</v>
      </c>
      <c r="I21" s="127">
        <f t="shared" si="4"/>
        <v>105891.49999999997</v>
      </c>
      <c r="J21" s="127">
        <f t="shared" si="4"/>
        <v>131270.96000000002</v>
      </c>
      <c r="K21" s="127">
        <f t="shared" si="4"/>
        <v>85823.33</v>
      </c>
      <c r="L21" s="127">
        <f t="shared" si="4"/>
        <v>67816.210000000006</v>
      </c>
      <c r="M21" s="127">
        <f t="shared" si="4"/>
        <v>168751.42</v>
      </c>
      <c r="N21" s="133">
        <f t="shared" si="4"/>
        <v>73287.179999999993</v>
      </c>
    </row>
    <row r="22" spans="1:16" ht="22.5" x14ac:dyDescent="0.2">
      <c r="A22" s="178"/>
      <c r="B22" s="134" t="s">
        <v>46</v>
      </c>
      <c r="C22" s="152">
        <v>0</v>
      </c>
      <c r="D22" s="152">
        <v>0</v>
      </c>
      <c r="E22" s="175">
        <v>-21978.560000000001</v>
      </c>
      <c r="F22" s="10">
        <v>0</v>
      </c>
      <c r="G22" s="159">
        <v>0</v>
      </c>
      <c r="H22" s="175">
        <v>-25712.11</v>
      </c>
      <c r="I22" s="10">
        <v>0</v>
      </c>
      <c r="J22" s="10">
        <v>0</v>
      </c>
      <c r="K22" s="174">
        <v>-30852.639999999999</v>
      </c>
      <c r="L22" s="174">
        <v>0</v>
      </c>
      <c r="M22" s="174"/>
      <c r="N22" s="174">
        <f>-43191.24</f>
        <v>-43191.24</v>
      </c>
    </row>
    <row r="23" spans="1:16" x14ac:dyDescent="0.2">
      <c r="A23" s="178"/>
      <c r="B23" s="132" t="s">
        <v>30</v>
      </c>
      <c r="C23" s="151">
        <f t="shared" ref="C23:N23" si="5">C21+C22</f>
        <v>8654.7499999999945</v>
      </c>
      <c r="D23" s="158">
        <f t="shared" si="5"/>
        <v>75407.930000000008</v>
      </c>
      <c r="E23" s="122">
        <f t="shared" si="5"/>
        <v>78770.600000000006</v>
      </c>
      <c r="F23" s="122">
        <f t="shared" si="5"/>
        <v>84559.290000000008</v>
      </c>
      <c r="G23" s="168">
        <f t="shared" si="5"/>
        <v>72265.930000000008</v>
      </c>
      <c r="H23" s="127">
        <f t="shared" si="5"/>
        <v>29607.83</v>
      </c>
      <c r="I23" s="127">
        <f t="shared" si="5"/>
        <v>105891.49999999997</v>
      </c>
      <c r="J23" s="127">
        <f t="shared" si="5"/>
        <v>131270.96000000002</v>
      </c>
      <c r="K23" s="127">
        <f t="shared" si="5"/>
        <v>54970.69</v>
      </c>
      <c r="L23" s="127">
        <f t="shared" si="5"/>
        <v>67816.210000000006</v>
      </c>
      <c r="M23" s="127">
        <f t="shared" si="5"/>
        <v>168751.42</v>
      </c>
      <c r="N23" s="133">
        <f t="shared" si="5"/>
        <v>30095.939999999995</v>
      </c>
      <c r="P23" s="181">
        <f>M23</f>
        <v>168751.42</v>
      </c>
    </row>
    <row r="24" spans="1:16" x14ac:dyDescent="0.2">
      <c r="A24" s="178"/>
      <c r="B24" s="138"/>
      <c r="C24" s="17"/>
      <c r="D24" s="161"/>
      <c r="E24" s="17"/>
      <c r="F24" s="17"/>
      <c r="G24" s="161"/>
      <c r="H24" s="17"/>
      <c r="I24" s="17"/>
      <c r="J24" s="17"/>
      <c r="K24" s="17"/>
      <c r="L24" s="17"/>
      <c r="M24" s="17"/>
      <c r="N24" s="79"/>
      <c r="P24" s="181">
        <v>1000658.6</v>
      </c>
    </row>
    <row r="25" spans="1:16" ht="31.5" x14ac:dyDescent="0.2">
      <c r="A25" s="178"/>
      <c r="B25" s="139" t="s">
        <v>31</v>
      </c>
      <c r="C25" s="20" t="s">
        <v>32</v>
      </c>
      <c r="D25" s="162" t="s">
        <v>32</v>
      </c>
      <c r="E25" s="20" t="s">
        <v>32</v>
      </c>
      <c r="F25" s="20" t="s">
        <v>32</v>
      </c>
      <c r="G25" s="162" t="s">
        <v>32</v>
      </c>
      <c r="H25" s="20" t="s">
        <v>32</v>
      </c>
      <c r="I25" s="20" t="s">
        <v>32</v>
      </c>
      <c r="J25" s="20" t="s">
        <v>32</v>
      </c>
      <c r="K25" s="20" t="s">
        <v>32</v>
      </c>
      <c r="L25" s="20" t="s">
        <v>32</v>
      </c>
      <c r="M25" s="20" t="s">
        <v>32</v>
      </c>
      <c r="N25" s="140" t="s">
        <v>32</v>
      </c>
    </row>
    <row r="26" spans="1:16" x14ac:dyDescent="0.2">
      <c r="A26" s="178"/>
      <c r="B26" s="141" t="str">
        <f>B7</f>
        <v>Empresa:</v>
      </c>
      <c r="C26" s="23"/>
      <c r="D26" s="163"/>
      <c r="E26" s="23"/>
      <c r="F26" s="23"/>
      <c r="G26" s="163"/>
      <c r="H26" s="23"/>
      <c r="I26" s="23"/>
      <c r="J26" s="23"/>
      <c r="K26" s="23"/>
      <c r="L26" s="23"/>
      <c r="M26" s="23"/>
      <c r="N26" s="142"/>
      <c r="P26" s="181">
        <f>P23-P24</f>
        <v>-831907.17999999993</v>
      </c>
    </row>
    <row r="27" spans="1:16" ht="21" x14ac:dyDescent="0.2">
      <c r="A27" s="178"/>
      <c r="B27" s="143" t="s">
        <v>15</v>
      </c>
      <c r="C27" s="156">
        <f t="shared" ref="C27:N28" si="6">C8</f>
        <v>40966.17</v>
      </c>
      <c r="D27" s="164">
        <f t="shared" si="6"/>
        <v>100135.26</v>
      </c>
      <c r="E27" s="124">
        <f t="shared" si="6"/>
        <v>134510.26999999999</v>
      </c>
      <c r="F27" s="124">
        <f t="shared" si="6"/>
        <v>111034.5</v>
      </c>
      <c r="G27" s="169">
        <f t="shared" si="6"/>
        <v>125369.59</v>
      </c>
      <c r="H27" s="26">
        <f t="shared" si="6"/>
        <v>94050.61</v>
      </c>
      <c r="I27" s="26">
        <f t="shared" si="6"/>
        <v>167679.76999999999</v>
      </c>
      <c r="J27" s="26">
        <f t="shared" si="6"/>
        <v>163798.21</v>
      </c>
      <c r="K27" s="26">
        <f t="shared" si="6"/>
        <v>116899.09</v>
      </c>
      <c r="L27" s="26">
        <f t="shared" si="6"/>
        <v>111180.27</v>
      </c>
      <c r="M27" s="26">
        <f t="shared" si="6"/>
        <v>210414.79</v>
      </c>
      <c r="N27" s="144">
        <f t="shared" si="6"/>
        <v>107937.48</v>
      </c>
    </row>
    <row r="28" spans="1:16" ht="33.75" x14ac:dyDescent="0.2">
      <c r="A28" s="178"/>
      <c r="B28" s="134" t="s">
        <v>16</v>
      </c>
      <c r="C28" s="152">
        <f t="shared" si="6"/>
        <v>-3880.22</v>
      </c>
      <c r="D28" s="152">
        <f t="shared" si="6"/>
        <v>-5829.95</v>
      </c>
      <c r="E28" s="152">
        <f t="shared" si="6"/>
        <v>-3870.29</v>
      </c>
      <c r="F28" s="152">
        <f t="shared" si="6"/>
        <v>-3196.56</v>
      </c>
      <c r="G28" s="174">
        <f t="shared" si="6"/>
        <v>-6340.44</v>
      </c>
      <c r="H28" s="152">
        <f t="shared" si="6"/>
        <v>-6622.29</v>
      </c>
      <c r="I28" s="152">
        <f t="shared" si="6"/>
        <v>-6037.67</v>
      </c>
      <c r="J28" s="152">
        <f t="shared" si="6"/>
        <v>-8664.77</v>
      </c>
      <c r="K28" s="174">
        <f t="shared" si="6"/>
        <v>-5636.43</v>
      </c>
      <c r="L28" s="10">
        <f t="shared" si="6"/>
        <v>-7331.21</v>
      </c>
      <c r="M28" s="10">
        <f t="shared" si="6"/>
        <v>-10483</v>
      </c>
      <c r="N28" s="135">
        <f t="shared" si="6"/>
        <v>-6288.94</v>
      </c>
    </row>
    <row r="29" spans="1:16" ht="21" x14ac:dyDescent="0.2">
      <c r="A29" s="178"/>
      <c r="B29" s="143" t="s">
        <v>17</v>
      </c>
      <c r="C29" s="156">
        <f t="shared" ref="C29:N29" si="7">C27+C28</f>
        <v>37085.949999999997</v>
      </c>
      <c r="D29" s="164">
        <f t="shared" si="7"/>
        <v>94305.31</v>
      </c>
      <c r="E29" s="164">
        <f t="shared" si="7"/>
        <v>130639.98</v>
      </c>
      <c r="F29" s="164">
        <f t="shared" si="7"/>
        <v>107837.94</v>
      </c>
      <c r="G29" s="169">
        <f t="shared" si="7"/>
        <v>119029.15</v>
      </c>
      <c r="H29" s="26">
        <f t="shared" si="7"/>
        <v>87428.32</v>
      </c>
      <c r="I29" s="26">
        <f t="shared" si="7"/>
        <v>161642.09999999998</v>
      </c>
      <c r="J29" s="26">
        <f t="shared" si="7"/>
        <v>155133.44</v>
      </c>
      <c r="K29" s="26">
        <f t="shared" si="7"/>
        <v>111262.66</v>
      </c>
      <c r="L29" s="26">
        <f t="shared" si="7"/>
        <v>103849.06</v>
      </c>
      <c r="M29" s="26">
        <f t="shared" si="7"/>
        <v>199931.79</v>
      </c>
      <c r="N29" s="144">
        <f t="shared" si="7"/>
        <v>101648.54</v>
      </c>
    </row>
    <row r="30" spans="1:16" ht="33.75" x14ac:dyDescent="0.2">
      <c r="A30" s="178"/>
      <c r="B30" s="134" t="s">
        <v>33</v>
      </c>
      <c r="C30" s="152">
        <f t="shared" ref="C30:N30" si="8">C12</f>
        <v>-300</v>
      </c>
      <c r="D30" s="152">
        <f t="shared" si="8"/>
        <v>0</v>
      </c>
      <c r="E30" s="152">
        <f t="shared" si="8"/>
        <v>-10283.790000000001</v>
      </c>
      <c r="F30" s="152">
        <f t="shared" si="8"/>
        <v>-2047.5</v>
      </c>
      <c r="G30" s="174">
        <f t="shared" si="8"/>
        <v>-21675.65</v>
      </c>
      <c r="H30" s="152">
        <f t="shared" si="8"/>
        <v>-1600</v>
      </c>
      <c r="I30" s="152">
        <f t="shared" si="8"/>
        <v>-15953.41</v>
      </c>
      <c r="J30" s="152">
        <f t="shared" si="8"/>
        <v>-2810.3</v>
      </c>
      <c r="K30" s="174">
        <f t="shared" si="8"/>
        <v>-730</v>
      </c>
      <c r="L30" s="10">
        <f t="shared" si="8"/>
        <v>-11589.84</v>
      </c>
      <c r="M30" s="10">
        <f t="shared" si="8"/>
        <v>-5195</v>
      </c>
      <c r="N30" s="135">
        <f t="shared" si="8"/>
        <v>-657.72</v>
      </c>
    </row>
    <row r="31" spans="1:16" x14ac:dyDescent="0.2">
      <c r="A31" s="178"/>
      <c r="B31" s="143" t="s">
        <v>19</v>
      </c>
      <c r="C31" s="156">
        <f t="shared" ref="C31:N31" si="9">C29+C30</f>
        <v>36785.949999999997</v>
      </c>
      <c r="D31" s="156">
        <f t="shared" si="9"/>
        <v>94305.31</v>
      </c>
      <c r="E31" s="156">
        <f t="shared" si="9"/>
        <v>120356.19</v>
      </c>
      <c r="F31" s="164">
        <f t="shared" si="9"/>
        <v>105790.44</v>
      </c>
      <c r="G31" s="169">
        <f t="shared" si="9"/>
        <v>97353.5</v>
      </c>
      <c r="H31" s="26">
        <f t="shared" si="9"/>
        <v>85828.32</v>
      </c>
      <c r="I31" s="26">
        <f t="shared" si="9"/>
        <v>145688.68999999997</v>
      </c>
      <c r="J31" s="26">
        <f t="shared" si="9"/>
        <v>152323.14000000001</v>
      </c>
      <c r="K31" s="26">
        <f t="shared" si="9"/>
        <v>110532.66</v>
      </c>
      <c r="L31" s="26">
        <f t="shared" si="9"/>
        <v>92259.22</v>
      </c>
      <c r="M31" s="26">
        <f t="shared" si="9"/>
        <v>194736.79</v>
      </c>
      <c r="N31" s="144">
        <f t="shared" si="9"/>
        <v>100990.81999999999</v>
      </c>
    </row>
    <row r="32" spans="1:16" ht="22.5" x14ac:dyDescent="0.2">
      <c r="A32" s="178"/>
      <c r="B32" s="134" t="s">
        <v>20</v>
      </c>
      <c r="C32" s="152">
        <f t="shared" ref="C32:N32" si="10">SUM(C33:C34)</f>
        <v>-28227.97</v>
      </c>
      <c r="D32" s="152">
        <f t="shared" si="10"/>
        <v>-18973.8</v>
      </c>
      <c r="E32" s="152">
        <f t="shared" si="10"/>
        <v>-21777.75</v>
      </c>
      <c r="F32" s="152">
        <f t="shared" si="10"/>
        <v>-21403.909999999996</v>
      </c>
      <c r="G32" s="174">
        <f t="shared" si="10"/>
        <v>-25357.66</v>
      </c>
      <c r="H32" s="152">
        <f t="shared" si="10"/>
        <v>-30702.6</v>
      </c>
      <c r="I32" s="152">
        <f t="shared" si="10"/>
        <v>-8795.2099999999991</v>
      </c>
      <c r="J32" s="152">
        <f t="shared" si="10"/>
        <v>-21188.03</v>
      </c>
      <c r="K32" s="174">
        <f t="shared" si="10"/>
        <v>-24872.48</v>
      </c>
      <c r="L32" s="10">
        <f t="shared" si="10"/>
        <v>-24272.85</v>
      </c>
      <c r="M32" s="10">
        <f t="shared" si="10"/>
        <v>-26135.72</v>
      </c>
      <c r="N32" s="135">
        <f t="shared" si="10"/>
        <v>-27879.319999999996</v>
      </c>
    </row>
    <row r="33" spans="1:14" ht="22.5" x14ac:dyDescent="0.2">
      <c r="A33" s="178"/>
      <c r="B33" s="134" t="s">
        <v>21</v>
      </c>
      <c r="C33" s="152">
        <f>C15</f>
        <v>0</v>
      </c>
      <c r="D33" s="152">
        <f t="shared" ref="D33:N34" si="11">D15</f>
        <v>0</v>
      </c>
      <c r="E33" s="152">
        <f t="shared" si="11"/>
        <v>0</v>
      </c>
      <c r="F33" s="159">
        <f t="shared" si="11"/>
        <v>0</v>
      </c>
      <c r="G33" s="159">
        <f t="shared" si="11"/>
        <v>0</v>
      </c>
      <c r="H33" s="10">
        <f t="shared" si="11"/>
        <v>0</v>
      </c>
      <c r="I33" s="10">
        <f t="shared" si="11"/>
        <v>0</v>
      </c>
      <c r="J33" s="10">
        <f t="shared" si="11"/>
        <v>0</v>
      </c>
      <c r="K33" s="10">
        <f t="shared" si="11"/>
        <v>0</v>
      </c>
      <c r="L33" s="10">
        <f t="shared" si="11"/>
        <v>0</v>
      </c>
      <c r="M33" s="10">
        <f t="shared" si="11"/>
        <v>0</v>
      </c>
      <c r="N33" s="135">
        <f t="shared" si="11"/>
        <v>0</v>
      </c>
    </row>
    <row r="34" spans="1:14" ht="22.5" x14ac:dyDescent="0.2">
      <c r="A34" s="178"/>
      <c r="B34" s="134" t="s">
        <v>22</v>
      </c>
      <c r="C34" s="152">
        <f>SUM(C16)</f>
        <v>-28227.97</v>
      </c>
      <c r="D34" s="152">
        <f t="shared" si="11"/>
        <v>-18973.8</v>
      </c>
      <c r="E34" s="152">
        <f t="shared" si="11"/>
        <v>-21777.75</v>
      </c>
      <c r="F34" s="152">
        <f t="shared" si="11"/>
        <v>-21403.909999999996</v>
      </c>
      <c r="G34" s="174">
        <f t="shared" si="11"/>
        <v>-25357.66</v>
      </c>
      <c r="H34" s="152">
        <f t="shared" si="11"/>
        <v>-30702.6</v>
      </c>
      <c r="I34" s="152">
        <f t="shared" si="11"/>
        <v>-8795.2099999999991</v>
      </c>
      <c r="J34" s="152">
        <f t="shared" si="11"/>
        <v>-21188.03</v>
      </c>
      <c r="K34" s="175">
        <f t="shared" si="11"/>
        <v>-24872.48</v>
      </c>
      <c r="L34" s="174">
        <f t="shared" si="11"/>
        <v>-24272.85</v>
      </c>
      <c r="M34" s="10">
        <f t="shared" si="11"/>
        <v>-26135.72</v>
      </c>
      <c r="N34" s="135">
        <f t="shared" si="11"/>
        <v>-27879.319999999996</v>
      </c>
    </row>
    <row r="35" spans="1:14" x14ac:dyDescent="0.2">
      <c r="A35" s="178"/>
      <c r="B35" s="145" t="s">
        <v>34</v>
      </c>
      <c r="C35" s="157">
        <f t="shared" ref="C35:N35" si="12">C31+C32</f>
        <v>8557.9799999999959</v>
      </c>
      <c r="D35" s="165">
        <f t="shared" si="12"/>
        <v>75331.509999999995</v>
      </c>
      <c r="E35" s="165">
        <f t="shared" si="12"/>
        <v>98578.44</v>
      </c>
      <c r="F35" s="165">
        <f t="shared" si="12"/>
        <v>84386.53</v>
      </c>
      <c r="G35" s="165">
        <f t="shared" si="12"/>
        <v>71995.839999999997</v>
      </c>
      <c r="H35" s="29">
        <f t="shared" si="12"/>
        <v>55125.720000000008</v>
      </c>
      <c r="I35" s="29">
        <f t="shared" si="12"/>
        <v>136893.47999999998</v>
      </c>
      <c r="J35" s="29">
        <f t="shared" si="12"/>
        <v>131135.11000000002</v>
      </c>
      <c r="K35" s="29">
        <f t="shared" si="12"/>
        <v>85660.180000000008</v>
      </c>
      <c r="L35" s="29">
        <f t="shared" si="12"/>
        <v>67986.37</v>
      </c>
      <c r="M35" s="29">
        <f t="shared" si="12"/>
        <v>168601.07</v>
      </c>
      <c r="N35" s="146">
        <f t="shared" si="12"/>
        <v>73111.5</v>
      </c>
    </row>
    <row r="36" spans="1:14" x14ac:dyDescent="0.2">
      <c r="A36" s="178"/>
      <c r="B36" s="134" t="s">
        <v>35</v>
      </c>
      <c r="C36" s="152">
        <v>4143.9799999999996</v>
      </c>
      <c r="D36" s="159">
        <v>4143.9799999999996</v>
      </c>
      <c r="E36" s="159">
        <v>4143.9799999999996</v>
      </c>
      <c r="F36" s="159">
        <v>4143.9799999999996</v>
      </c>
      <c r="G36" s="159">
        <v>4071.07</v>
      </c>
      <c r="H36" s="10">
        <v>4071.07</v>
      </c>
      <c r="I36" s="10">
        <v>3947.87</v>
      </c>
      <c r="J36" s="10">
        <v>3947.87</v>
      </c>
      <c r="K36" s="10">
        <v>3947.87</v>
      </c>
      <c r="L36" s="10">
        <v>3947.87</v>
      </c>
      <c r="M36" s="10">
        <v>3947.87</v>
      </c>
      <c r="N36" s="135">
        <v>3947.87</v>
      </c>
    </row>
    <row r="37" spans="1:14" x14ac:dyDescent="0.2">
      <c r="A37" s="178"/>
      <c r="B37" s="145" t="s">
        <v>36</v>
      </c>
      <c r="C37" s="157">
        <f t="shared" ref="C37:N37" si="13">C35+C36</f>
        <v>12701.959999999995</v>
      </c>
      <c r="D37" s="165">
        <f t="shared" si="13"/>
        <v>79475.489999999991</v>
      </c>
      <c r="E37" s="126">
        <f t="shared" si="13"/>
        <v>102722.42</v>
      </c>
      <c r="F37" s="126">
        <f t="shared" si="13"/>
        <v>88530.51</v>
      </c>
      <c r="G37" s="165">
        <f t="shared" si="13"/>
        <v>76066.91</v>
      </c>
      <c r="H37" s="29">
        <f t="shared" si="13"/>
        <v>59196.790000000008</v>
      </c>
      <c r="I37" s="29">
        <f t="shared" si="13"/>
        <v>140841.34999999998</v>
      </c>
      <c r="J37" s="29">
        <f t="shared" si="13"/>
        <v>135082.98000000001</v>
      </c>
      <c r="K37" s="29">
        <f t="shared" si="13"/>
        <v>89608.05</v>
      </c>
      <c r="L37" s="29">
        <f t="shared" si="13"/>
        <v>71934.239999999991</v>
      </c>
      <c r="M37" s="29">
        <f t="shared" si="13"/>
        <v>172548.94</v>
      </c>
      <c r="N37" s="146">
        <f t="shared" si="13"/>
        <v>77059.37</v>
      </c>
    </row>
    <row r="38" spans="1:14" x14ac:dyDescent="0.2">
      <c r="A38" s="178"/>
      <c r="B38" s="147" t="s">
        <v>37</v>
      </c>
      <c r="C38" s="32" t="s">
        <v>38</v>
      </c>
      <c r="D38" s="176">
        <f>D37/C37-1</f>
        <v>5.2569469593669025</v>
      </c>
      <c r="E38" s="33">
        <f t="shared" ref="E38:N38" si="14">E37/D37-1</f>
        <v>0.29250439349288704</v>
      </c>
      <c r="F38" s="33">
        <f t="shared" si="14"/>
        <v>-0.13815786271390418</v>
      </c>
      <c r="G38" s="176">
        <f t="shared" si="14"/>
        <v>-0.14078310403950001</v>
      </c>
      <c r="H38" s="33">
        <f t="shared" si="14"/>
        <v>-0.2217800092050537</v>
      </c>
      <c r="I38" s="33">
        <f t="shared" si="14"/>
        <v>1.3792058657234616</v>
      </c>
      <c r="J38" s="33">
        <f t="shared" si="14"/>
        <v>-4.0885506990666953E-2</v>
      </c>
      <c r="K38" s="33">
        <f>K37/J37-1</f>
        <v>-0.336644409236456</v>
      </c>
      <c r="L38" s="33">
        <f>L37/K37-1</f>
        <v>-0.19723462345179943</v>
      </c>
      <c r="M38" s="33">
        <f t="shared" si="14"/>
        <v>1.3987038717584288</v>
      </c>
      <c r="N38" s="83">
        <f t="shared" si="14"/>
        <v>-0.55340571782127435</v>
      </c>
    </row>
    <row r="39" spans="1:14" x14ac:dyDescent="0.2">
      <c r="A39" s="178"/>
      <c r="B39" s="147" t="s">
        <v>39</v>
      </c>
      <c r="C39" s="32"/>
      <c r="D39" s="35">
        <f>1*(D38/100+1)</f>
        <v>1.0525694695936689</v>
      </c>
      <c r="E39" s="35">
        <f t="shared" ref="E39:N39" si="15">D39*(E38/100+1)</f>
        <v>1.0556482815367951</v>
      </c>
      <c r="F39" s="35">
        <f t="shared" si="15"/>
        <v>1.0541898204332478</v>
      </c>
      <c r="G39" s="171">
        <f t="shared" si="15"/>
        <v>1.0527056992815735</v>
      </c>
      <c r="H39" s="35">
        <f t="shared" si="15"/>
        <v>1.0503710084848048</v>
      </c>
      <c r="I39" s="35">
        <f t="shared" si="15"/>
        <v>1.0648577870456859</v>
      </c>
      <c r="J39" s="35">
        <f t="shared" si="15"/>
        <v>1.0644224145407226</v>
      </c>
      <c r="K39" s="35">
        <f t="shared" si="15"/>
        <v>1.0608390959915117</v>
      </c>
      <c r="L39" s="35">
        <f t="shared" si="15"/>
        <v>1.0587467539951034</v>
      </c>
      <c r="M39" s="35">
        <f t="shared" si="15"/>
        <v>1.0735554858353495</v>
      </c>
      <c r="N39" s="84">
        <f t="shared" si="15"/>
        <v>1.0676143683927528</v>
      </c>
    </row>
    <row r="40" spans="1:14" ht="13.5" thickBot="1" x14ac:dyDescent="0.25">
      <c r="A40" s="178"/>
      <c r="B40" s="148" t="s">
        <v>39</v>
      </c>
      <c r="C40" s="149" t="s">
        <v>38</v>
      </c>
      <c r="D40" s="150">
        <f t="shared" ref="D40:N40" si="16">D39-1</f>
        <v>5.2569469593668927E-2</v>
      </c>
      <c r="E40" s="150">
        <f t="shared" si="16"/>
        <v>5.564828153679513E-2</v>
      </c>
      <c r="F40" s="150">
        <f t="shared" si="16"/>
        <v>5.4189820433247826E-2</v>
      </c>
      <c r="G40" s="172">
        <f t="shared" si="16"/>
        <v>5.2705699281573537E-2</v>
      </c>
      <c r="H40" s="150">
        <f t="shared" si="16"/>
        <v>5.0371008484804802E-2</v>
      </c>
      <c r="I40" s="150">
        <f t="shared" si="16"/>
        <v>6.48577870456859E-2</v>
      </c>
      <c r="J40" s="150">
        <f t="shared" si="16"/>
        <v>6.4422414540722617E-2</v>
      </c>
      <c r="K40" s="150">
        <f t="shared" si="16"/>
        <v>6.0839095991511716E-2</v>
      </c>
      <c r="L40" s="150">
        <f t="shared" si="16"/>
        <v>5.8746753995103429E-2</v>
      </c>
      <c r="M40" s="150">
        <f t="shared" si="16"/>
        <v>7.3555485835349543E-2</v>
      </c>
      <c r="N40" s="85">
        <f t="shared" si="16"/>
        <v>6.7614368392752811E-2</v>
      </c>
    </row>
    <row r="45" spans="1:14" x14ac:dyDescent="0.2">
      <c r="G45" s="166">
        <f>D37/C37-1</f>
        <v>5.2569469593669025</v>
      </c>
    </row>
    <row r="47" spans="1:14" x14ac:dyDescent="0.2">
      <c r="I47" s="173"/>
    </row>
    <row r="57" spans="8:8" x14ac:dyDescent="0.2">
      <c r="H57" s="2">
        <v>47617.04</v>
      </c>
    </row>
    <row r="58" spans="8:8" x14ac:dyDescent="0.2">
      <c r="H58" s="2">
        <v>11526.98</v>
      </c>
    </row>
    <row r="59" spans="8:8" x14ac:dyDescent="0.2">
      <c r="H59" s="2">
        <v>61193.919999999998</v>
      </c>
    </row>
    <row r="60" spans="8:8" x14ac:dyDescent="0.2">
      <c r="H60" s="2">
        <v>2205.54</v>
      </c>
    </row>
    <row r="61" spans="8:8" x14ac:dyDescent="0.2">
      <c r="H61" s="2">
        <v>25700.639999999999</v>
      </c>
    </row>
    <row r="62" spans="8:8" x14ac:dyDescent="0.2">
      <c r="H62" s="2">
        <v>6354.88</v>
      </c>
    </row>
  </sheetData>
  <mergeCells count="2">
    <mergeCell ref="B5:N5"/>
    <mergeCell ref="C6:N6"/>
  </mergeCells>
  <pageMargins left="0.28999999999999998" right="0.23622047244094491" top="0.86614173228346458" bottom="0.98425196850393704" header="0.98425196850393704" footer="0.51181102362204722"/>
  <pageSetup paperSize="9" scale="62" orientation="landscape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62"/>
  <sheetViews>
    <sheetView topLeftCell="B1" zoomScaleNormal="100" workbookViewId="0">
      <selection activeCell="N45" sqref="N45"/>
    </sheetView>
  </sheetViews>
  <sheetFormatPr defaultColWidth="11.5703125" defaultRowHeight="12.75" x14ac:dyDescent="0.2"/>
  <cols>
    <col min="1" max="1" width="6.42578125" style="2" customWidth="1"/>
    <col min="2" max="2" width="18.42578125" style="2" bestFit="1" customWidth="1"/>
    <col min="3" max="3" width="10.5703125" style="2" bestFit="1" customWidth="1"/>
    <col min="4" max="5" width="10" style="2" bestFit="1" customWidth="1"/>
    <col min="6" max="6" width="9.85546875" style="2" customWidth="1"/>
    <col min="7" max="7" width="10.42578125" style="166" bestFit="1" customWidth="1"/>
    <col min="8" max="12" width="10.85546875" style="2" bestFit="1" customWidth="1"/>
    <col min="13" max="13" width="12.42578125" style="2" bestFit="1" customWidth="1"/>
    <col min="14" max="14" width="10.85546875" style="2" customWidth="1"/>
    <col min="15" max="15" width="11.5703125" style="2"/>
    <col min="16" max="16" width="12.28515625" style="2" bestFit="1" customWidth="1"/>
    <col min="17" max="16384" width="11.5703125" style="2"/>
  </cols>
  <sheetData>
    <row r="1" spans="1:16" x14ac:dyDescent="0.2">
      <c r="A1" s="178"/>
      <c r="B1" s="178"/>
      <c r="C1" s="178"/>
      <c r="D1" s="178"/>
      <c r="E1" s="178"/>
      <c r="F1" s="178"/>
      <c r="G1" s="179"/>
      <c r="H1" s="178"/>
      <c r="I1" s="178"/>
      <c r="J1" s="178"/>
      <c r="K1" s="178"/>
      <c r="L1" s="178"/>
      <c r="M1" s="178"/>
      <c r="N1" s="178"/>
    </row>
    <row r="2" spans="1:16" ht="18.75" x14ac:dyDescent="0.3">
      <c r="A2" s="178"/>
      <c r="B2" s="180" t="s">
        <v>44</v>
      </c>
      <c r="C2" s="178"/>
      <c r="D2" s="178"/>
      <c r="E2" s="178"/>
      <c r="F2" s="178"/>
      <c r="G2" s="179"/>
      <c r="H2" s="178"/>
      <c r="I2" s="178"/>
      <c r="J2" s="178"/>
      <c r="K2" s="178"/>
      <c r="L2" s="178"/>
      <c r="M2" s="178"/>
      <c r="N2" s="178"/>
    </row>
    <row r="3" spans="1:16" x14ac:dyDescent="0.2">
      <c r="A3" s="178"/>
      <c r="B3" s="178"/>
      <c r="C3" s="178"/>
      <c r="D3" s="178"/>
      <c r="E3" s="178"/>
      <c r="F3" s="178"/>
      <c r="G3" s="179"/>
      <c r="H3" s="178"/>
      <c r="I3" s="178"/>
      <c r="J3" s="178"/>
      <c r="K3" s="178"/>
      <c r="L3" s="178"/>
      <c r="M3" s="178"/>
      <c r="N3" s="178"/>
    </row>
    <row r="4" spans="1:16" ht="13.5" thickBot="1" x14ac:dyDescent="0.25">
      <c r="A4" s="178"/>
      <c r="B4" s="178"/>
      <c r="C4" s="178"/>
      <c r="D4" s="178"/>
      <c r="E4" s="178"/>
      <c r="F4" s="178"/>
      <c r="G4" s="179"/>
      <c r="H4" s="178"/>
      <c r="I4" s="178"/>
      <c r="J4" s="178"/>
      <c r="K4" s="178"/>
      <c r="L4" s="178"/>
      <c r="M4" s="178"/>
      <c r="N4" s="178"/>
    </row>
    <row r="5" spans="1:16" ht="25.5" customHeight="1" thickBot="1" x14ac:dyDescent="0.25">
      <c r="A5" s="178"/>
      <c r="B5" s="192" t="s">
        <v>48</v>
      </c>
      <c r="C5" s="193"/>
      <c r="D5" s="193"/>
      <c r="E5" s="193"/>
      <c r="F5" s="193"/>
      <c r="G5" s="193"/>
      <c r="H5" s="193"/>
      <c r="I5" s="193"/>
      <c r="J5" s="193"/>
      <c r="K5" s="193"/>
      <c r="L5" s="193"/>
      <c r="M5" s="193"/>
      <c r="N5" s="194"/>
    </row>
    <row r="6" spans="1:16" x14ac:dyDescent="0.2">
      <c r="A6" s="178"/>
      <c r="B6" s="129" t="s">
        <v>0</v>
      </c>
      <c r="C6" s="188" t="s">
        <v>1</v>
      </c>
      <c r="D6" s="188"/>
      <c r="E6" s="188"/>
      <c r="F6" s="188"/>
      <c r="G6" s="188"/>
      <c r="H6" s="188"/>
      <c r="I6" s="188"/>
      <c r="J6" s="188"/>
      <c r="K6" s="188"/>
      <c r="L6" s="188"/>
      <c r="M6" s="188"/>
      <c r="N6" s="195"/>
    </row>
    <row r="7" spans="1:16" x14ac:dyDescent="0.2">
      <c r="A7" s="178"/>
      <c r="B7" s="130" t="s">
        <v>2</v>
      </c>
      <c r="C7" s="4" t="s">
        <v>3</v>
      </c>
      <c r="D7" s="4" t="s">
        <v>4</v>
      </c>
      <c r="E7" s="4" t="s">
        <v>5</v>
      </c>
      <c r="F7" s="4" t="s">
        <v>6</v>
      </c>
      <c r="G7" s="167" t="s">
        <v>7</v>
      </c>
      <c r="H7" s="4" t="s">
        <v>8</v>
      </c>
      <c r="I7" s="4" t="s">
        <v>9</v>
      </c>
      <c r="J7" s="4" t="s">
        <v>10</v>
      </c>
      <c r="K7" s="4" t="s">
        <v>11</v>
      </c>
      <c r="L7" s="4" t="s">
        <v>12</v>
      </c>
      <c r="M7" s="4" t="s">
        <v>13</v>
      </c>
      <c r="N7" s="131" t="s">
        <v>14</v>
      </c>
    </row>
    <row r="8" spans="1:16" ht="21" x14ac:dyDescent="0.2">
      <c r="A8" s="178"/>
      <c r="B8" s="132" t="s">
        <v>15</v>
      </c>
      <c r="C8" s="151">
        <v>119223.54</v>
      </c>
      <c r="D8" s="158">
        <v>85947.66</v>
      </c>
      <c r="E8" s="122">
        <v>142225.81</v>
      </c>
      <c r="F8" s="122">
        <v>112136.22</v>
      </c>
      <c r="G8" s="168">
        <f>109219.82-261.14</f>
        <v>108958.68000000001</v>
      </c>
      <c r="H8" s="127">
        <v>56116.800000000003</v>
      </c>
      <c r="I8" s="127">
        <v>22562.01</v>
      </c>
      <c r="J8" s="127">
        <v>36201.39</v>
      </c>
      <c r="K8" s="127">
        <v>119281.27</v>
      </c>
      <c r="L8" s="127">
        <v>33258.99</v>
      </c>
      <c r="M8" s="127">
        <v>38803.050000000003</v>
      </c>
      <c r="N8" s="133">
        <v>44421.05</v>
      </c>
    </row>
    <row r="9" spans="1:16" ht="33.75" x14ac:dyDescent="0.2">
      <c r="A9" s="178"/>
      <c r="B9" s="134" t="s">
        <v>16</v>
      </c>
      <c r="C9" s="152">
        <v>-5821.95</v>
      </c>
      <c r="D9" s="152">
        <v>-9322.31</v>
      </c>
      <c r="E9" s="152">
        <v>-6627.35</v>
      </c>
      <c r="F9" s="152">
        <v>-5768.95</v>
      </c>
      <c r="G9" s="152">
        <v>-4912.3900000000003</v>
      </c>
      <c r="H9" s="152">
        <v>-6084.64</v>
      </c>
      <c r="I9" s="152">
        <v>-4419.08</v>
      </c>
      <c r="J9" s="152">
        <v>-4060.53</v>
      </c>
      <c r="K9" s="152">
        <v>-3649.93</v>
      </c>
      <c r="L9" s="152">
        <v>-1623.97</v>
      </c>
      <c r="M9" s="177">
        <v>-2229.02</v>
      </c>
      <c r="N9" s="177">
        <v>-1423.7</v>
      </c>
    </row>
    <row r="10" spans="1:16" x14ac:dyDescent="0.2">
      <c r="A10" s="178"/>
      <c r="B10" s="134" t="s">
        <v>40</v>
      </c>
      <c r="C10" s="152">
        <v>0</v>
      </c>
      <c r="D10" s="159">
        <v>0</v>
      </c>
      <c r="E10" s="10">
        <v>0</v>
      </c>
      <c r="F10" s="10">
        <v>0</v>
      </c>
      <c r="G10" s="159">
        <v>0</v>
      </c>
      <c r="H10" s="10">
        <v>0</v>
      </c>
      <c r="I10" s="10"/>
      <c r="J10" s="10"/>
      <c r="K10" s="10"/>
      <c r="L10" s="10"/>
      <c r="M10" s="10"/>
      <c r="N10" s="135"/>
    </row>
    <row r="11" spans="1:16" ht="21" x14ac:dyDescent="0.2">
      <c r="A11" s="178"/>
      <c r="B11" s="132" t="s">
        <v>17</v>
      </c>
      <c r="C11" s="151">
        <f t="shared" ref="C11:N11" si="0">SUM(C8:C10)</f>
        <v>113401.59</v>
      </c>
      <c r="D11" s="158">
        <f t="shared" si="0"/>
        <v>76625.350000000006</v>
      </c>
      <c r="E11" s="122">
        <f t="shared" si="0"/>
        <v>135598.46</v>
      </c>
      <c r="F11" s="122">
        <f t="shared" si="0"/>
        <v>106367.27</v>
      </c>
      <c r="G11" s="168">
        <f t="shared" si="0"/>
        <v>104046.29000000001</v>
      </c>
      <c r="H11" s="127">
        <f t="shared" si="0"/>
        <v>50032.160000000003</v>
      </c>
      <c r="I11" s="127">
        <f t="shared" si="0"/>
        <v>18142.93</v>
      </c>
      <c r="J11" s="127">
        <f t="shared" si="0"/>
        <v>32140.86</v>
      </c>
      <c r="K11" s="127">
        <f t="shared" si="0"/>
        <v>115631.34000000001</v>
      </c>
      <c r="L11" s="127">
        <f t="shared" si="0"/>
        <v>31635.019999999997</v>
      </c>
      <c r="M11" s="127">
        <f t="shared" si="0"/>
        <v>36574.030000000006</v>
      </c>
      <c r="N11" s="133">
        <f t="shared" si="0"/>
        <v>42997.350000000006</v>
      </c>
    </row>
    <row r="12" spans="1:16" ht="33.75" x14ac:dyDescent="0.2">
      <c r="A12" s="178"/>
      <c r="B12" s="134" t="s">
        <v>18</v>
      </c>
      <c r="C12" s="152">
        <v>0</v>
      </c>
      <c r="D12" s="152">
        <f>-1934.98-50.03</f>
        <v>-1985.01</v>
      </c>
      <c r="E12" s="152">
        <v>-604.08000000000004</v>
      </c>
      <c r="F12" s="152">
        <v>-1188.5999999999999</v>
      </c>
      <c r="G12" s="152">
        <v>-60</v>
      </c>
      <c r="H12" s="152">
        <v>-60</v>
      </c>
      <c r="I12" s="152">
        <v>0</v>
      </c>
      <c r="J12" s="152">
        <v>0</v>
      </c>
      <c r="K12" s="152">
        <v>0</v>
      </c>
      <c r="L12" s="152">
        <v>0</v>
      </c>
      <c r="M12" s="175">
        <v>0</v>
      </c>
      <c r="N12" s="175">
        <v>0</v>
      </c>
    </row>
    <row r="13" spans="1:16" x14ac:dyDescent="0.2">
      <c r="A13" s="178"/>
      <c r="B13" s="132" t="s">
        <v>19</v>
      </c>
      <c r="C13" s="151">
        <f t="shared" ref="C13:N13" si="1">C11+C12</f>
        <v>113401.59</v>
      </c>
      <c r="D13" s="158">
        <f t="shared" si="1"/>
        <v>74640.340000000011</v>
      </c>
      <c r="E13" s="122">
        <f t="shared" si="1"/>
        <v>134994.38</v>
      </c>
      <c r="F13" s="122">
        <f t="shared" si="1"/>
        <v>105178.67</v>
      </c>
      <c r="G13" s="168">
        <f t="shared" si="1"/>
        <v>103986.29000000001</v>
      </c>
      <c r="H13" s="127">
        <f t="shared" si="1"/>
        <v>49972.160000000003</v>
      </c>
      <c r="I13" s="127">
        <f t="shared" si="1"/>
        <v>18142.93</v>
      </c>
      <c r="J13" s="127">
        <f t="shared" si="1"/>
        <v>32140.86</v>
      </c>
      <c r="K13" s="127">
        <f t="shared" si="1"/>
        <v>115631.34000000001</v>
      </c>
      <c r="L13" s="127">
        <f t="shared" si="1"/>
        <v>31635.019999999997</v>
      </c>
      <c r="M13" s="127">
        <f t="shared" si="1"/>
        <v>36574.030000000006</v>
      </c>
      <c r="N13" s="133">
        <f t="shared" si="1"/>
        <v>42997.350000000006</v>
      </c>
    </row>
    <row r="14" spans="1:16" ht="22.5" x14ac:dyDescent="0.2">
      <c r="A14" s="178"/>
      <c r="B14" s="136" t="s">
        <v>20</v>
      </c>
      <c r="C14" s="153">
        <f>SUM(C16:C18)</f>
        <v>-33044.380000000005</v>
      </c>
      <c r="D14" s="153">
        <f>SUM(D16:D18)</f>
        <v>-19006.870000000003</v>
      </c>
      <c r="E14" s="153">
        <f>SUM(E16:E18)</f>
        <v>-25914.589999999997</v>
      </c>
      <c r="F14" s="153">
        <f>SUM(F16:F18)</f>
        <v>-27749.740000000005</v>
      </c>
      <c r="G14" s="153">
        <f>SUM(G16:G18)</f>
        <v>-27897.909999999996</v>
      </c>
      <c r="H14" s="152">
        <f t="shared" ref="H14:N14" si="2">SUM(H15:H18)</f>
        <v>-30013.7</v>
      </c>
      <c r="I14" s="152">
        <f t="shared" si="2"/>
        <v>-23197.59</v>
      </c>
      <c r="J14" s="152">
        <f t="shared" si="2"/>
        <v>-24688.77</v>
      </c>
      <c r="K14" s="152">
        <f t="shared" si="2"/>
        <v>-39121.950000000004</v>
      </c>
      <c r="L14" s="174">
        <f t="shared" si="2"/>
        <v>-31740.25</v>
      </c>
      <c r="M14" s="174">
        <f t="shared" si="2"/>
        <v>-19774.39</v>
      </c>
      <c r="N14" s="174">
        <f t="shared" si="2"/>
        <v>-17713.38</v>
      </c>
    </row>
    <row r="15" spans="1:16" ht="22.5" x14ac:dyDescent="0.2">
      <c r="A15" s="178"/>
      <c r="B15" s="134" t="s">
        <v>21</v>
      </c>
      <c r="C15" s="159">
        <v>-7149.22</v>
      </c>
      <c r="D15" s="159">
        <v>-4486.01</v>
      </c>
      <c r="E15" s="10">
        <v>-7800.7</v>
      </c>
      <c r="F15" s="10">
        <v>0</v>
      </c>
      <c r="G15" s="159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35">
        <v>0</v>
      </c>
      <c r="P15" s="184"/>
    </row>
    <row r="16" spans="1:16" ht="22.5" x14ac:dyDescent="0.2">
      <c r="A16" s="178"/>
      <c r="B16" s="134" t="s">
        <v>22</v>
      </c>
      <c r="C16" s="152">
        <f>-8272.59-293.23-6607.38-5776.93-10620.34-1372.29</f>
        <v>-32942.76</v>
      </c>
      <c r="D16" s="152">
        <f>-7365.42-352-1765.06-5496.02-3896.01</f>
        <v>-18874.510000000002</v>
      </c>
      <c r="E16" s="152">
        <f>-16081.22-9720.45</f>
        <v>-25801.67</v>
      </c>
      <c r="F16" s="152">
        <f>-9902-234.01-12730.79-271.82-1033.4-3070-136.18-88.33-167.42</f>
        <v>-27633.950000000004</v>
      </c>
      <c r="G16" s="152">
        <f>-16689.26-11042.97</f>
        <v>-27732.229999999996</v>
      </c>
      <c r="H16" s="152">
        <f>-17518.24-12495.46</f>
        <v>-30013.7</v>
      </c>
      <c r="I16" s="152">
        <f>-16591.72-6479.55</f>
        <v>-23071.27</v>
      </c>
      <c r="J16" s="152">
        <v>-24560.639999999999</v>
      </c>
      <c r="K16" s="174">
        <f>-24012.58-14966.47</f>
        <v>-38979.050000000003</v>
      </c>
      <c r="L16" s="175">
        <v>-31614.49</v>
      </c>
      <c r="M16" s="175">
        <f>-13680.97-6119.87</f>
        <v>-19800.84</v>
      </c>
      <c r="N16" s="182">
        <f>-12547.87-5165.51+82.63</f>
        <v>-17630.75</v>
      </c>
      <c r="P16" s="185"/>
    </row>
    <row r="17" spans="1:17" ht="22.5" x14ac:dyDescent="0.2">
      <c r="A17" s="178"/>
      <c r="B17" s="134" t="s">
        <v>23</v>
      </c>
      <c r="C17" s="152">
        <v>-101.62</v>
      </c>
      <c r="D17" s="152">
        <v>-132.36000000000001</v>
      </c>
      <c r="E17" s="152">
        <v>-112.92</v>
      </c>
      <c r="F17" s="152">
        <v>-115.79</v>
      </c>
      <c r="G17" s="152">
        <v>-165.68</v>
      </c>
      <c r="H17" s="152">
        <v>0</v>
      </c>
      <c r="I17" s="152">
        <v>-126.32</v>
      </c>
      <c r="J17" s="152">
        <v>-128.13</v>
      </c>
      <c r="K17" s="152">
        <v>-142.9</v>
      </c>
      <c r="L17" s="152">
        <v>-125.76</v>
      </c>
      <c r="M17" s="152">
        <v>26.45</v>
      </c>
      <c r="N17" s="152">
        <v>-82.63</v>
      </c>
      <c r="P17" s="186"/>
    </row>
    <row r="18" spans="1:17" x14ac:dyDescent="0.2">
      <c r="A18" s="178"/>
      <c r="B18" s="134" t="s">
        <v>24</v>
      </c>
      <c r="C18" s="155" t="s">
        <v>25</v>
      </c>
      <c r="D18" s="155" t="s">
        <v>25</v>
      </c>
      <c r="E18" s="12"/>
      <c r="F18" s="12"/>
      <c r="G18" s="160"/>
      <c r="H18" s="12"/>
      <c r="I18" s="12"/>
      <c r="J18" s="12"/>
      <c r="K18" s="12"/>
      <c r="L18" s="12"/>
      <c r="M18" s="12"/>
      <c r="N18" s="137"/>
    </row>
    <row r="19" spans="1:17" x14ac:dyDescent="0.2">
      <c r="A19" s="178"/>
      <c r="B19" s="134" t="s">
        <v>26</v>
      </c>
      <c r="C19" s="152">
        <f t="shared" ref="C19:N19" si="3">C13+C14</f>
        <v>80357.209999999992</v>
      </c>
      <c r="D19" s="159">
        <f t="shared" si="3"/>
        <v>55633.470000000008</v>
      </c>
      <c r="E19" s="10">
        <f t="shared" si="3"/>
        <v>109079.79000000001</v>
      </c>
      <c r="F19" s="10">
        <f t="shared" si="3"/>
        <v>77428.929999999993</v>
      </c>
      <c r="G19" s="159">
        <f t="shared" si="3"/>
        <v>76088.38</v>
      </c>
      <c r="H19" s="10">
        <f t="shared" si="3"/>
        <v>19958.460000000003</v>
      </c>
      <c r="I19" s="10">
        <f t="shared" si="3"/>
        <v>-5054.66</v>
      </c>
      <c r="J19" s="10">
        <f t="shared" si="3"/>
        <v>7452.09</v>
      </c>
      <c r="K19" s="10">
        <f t="shared" si="3"/>
        <v>76509.390000000014</v>
      </c>
      <c r="L19" s="10">
        <f t="shared" si="3"/>
        <v>-105.2300000000032</v>
      </c>
      <c r="M19" s="10">
        <f t="shared" si="3"/>
        <v>16799.640000000007</v>
      </c>
      <c r="N19" s="135">
        <f t="shared" si="3"/>
        <v>25283.970000000005</v>
      </c>
    </row>
    <row r="20" spans="1:17" ht="33.75" x14ac:dyDescent="0.2">
      <c r="A20" s="178"/>
      <c r="B20" s="134" t="s">
        <v>27</v>
      </c>
      <c r="C20" s="152">
        <v>295.88</v>
      </c>
      <c r="D20" s="159">
        <f>-68.1+260.72</f>
        <v>192.62000000000003</v>
      </c>
      <c r="E20" s="10">
        <v>517.4</v>
      </c>
      <c r="F20" s="10">
        <v>264.14</v>
      </c>
      <c r="G20" s="159">
        <v>261.14</v>
      </c>
      <c r="H20" s="10">
        <v>269.11</v>
      </c>
      <c r="I20" s="10">
        <v>280.36</v>
      </c>
      <c r="J20" s="10">
        <v>274.57</v>
      </c>
      <c r="K20" s="10">
        <v>257.95999999999998</v>
      </c>
      <c r="L20" s="10">
        <v>0</v>
      </c>
      <c r="M20" s="10">
        <v>241.34</v>
      </c>
      <c r="N20" s="135">
        <v>250.64</v>
      </c>
      <c r="P20" s="184"/>
      <c r="Q20" s="181"/>
    </row>
    <row r="21" spans="1:17" ht="21" x14ac:dyDescent="0.2">
      <c r="A21" s="178"/>
      <c r="B21" s="132" t="s">
        <v>28</v>
      </c>
      <c r="C21" s="151">
        <f t="shared" ref="C21:N21" si="4">C19+C20</f>
        <v>80653.09</v>
      </c>
      <c r="D21" s="158">
        <f t="shared" si="4"/>
        <v>55826.090000000011</v>
      </c>
      <c r="E21" s="122">
        <f t="shared" si="4"/>
        <v>109597.19</v>
      </c>
      <c r="F21" s="122">
        <f t="shared" si="4"/>
        <v>77693.069999999992</v>
      </c>
      <c r="G21" s="168">
        <f t="shared" si="4"/>
        <v>76349.52</v>
      </c>
      <c r="H21" s="127">
        <f t="shared" si="4"/>
        <v>20227.570000000003</v>
      </c>
      <c r="I21" s="127">
        <f t="shared" si="4"/>
        <v>-4774.3</v>
      </c>
      <c r="J21" s="127">
        <f t="shared" si="4"/>
        <v>7726.66</v>
      </c>
      <c r="K21" s="127">
        <f t="shared" si="4"/>
        <v>76767.35000000002</v>
      </c>
      <c r="L21" s="127">
        <f t="shared" si="4"/>
        <v>-105.2300000000032</v>
      </c>
      <c r="M21" s="127">
        <f t="shared" si="4"/>
        <v>17040.980000000007</v>
      </c>
      <c r="N21" s="133">
        <f t="shared" si="4"/>
        <v>25534.610000000004</v>
      </c>
    </row>
    <row r="22" spans="1:17" ht="22.5" x14ac:dyDescent="0.2">
      <c r="A22" s="178"/>
      <c r="B22" s="134" t="s">
        <v>46</v>
      </c>
      <c r="C22" s="152">
        <v>0</v>
      </c>
      <c r="D22" s="152">
        <v>0</v>
      </c>
      <c r="E22" s="175">
        <v>-41974.16</v>
      </c>
      <c r="F22" s="10">
        <v>0</v>
      </c>
      <c r="G22" s="159">
        <v>0</v>
      </c>
      <c r="H22" s="175">
        <v>-30726.3</v>
      </c>
      <c r="I22" s="10">
        <v>0</v>
      </c>
      <c r="J22" s="10">
        <v>0</v>
      </c>
      <c r="K22" s="174">
        <v>-22229.33</v>
      </c>
      <c r="L22" s="174">
        <v>0</v>
      </c>
      <c r="M22" s="174"/>
      <c r="N22" s="174">
        <v>-7414.05</v>
      </c>
    </row>
    <row r="23" spans="1:17" x14ac:dyDescent="0.2">
      <c r="A23" s="178"/>
      <c r="B23" s="132" t="s">
        <v>30</v>
      </c>
      <c r="C23" s="151">
        <f t="shared" ref="C23:N23" si="5">C21+C22</f>
        <v>80653.09</v>
      </c>
      <c r="D23" s="158">
        <f t="shared" si="5"/>
        <v>55826.090000000011</v>
      </c>
      <c r="E23" s="122">
        <f t="shared" si="5"/>
        <v>67623.03</v>
      </c>
      <c r="F23" s="122">
        <f t="shared" si="5"/>
        <v>77693.069999999992</v>
      </c>
      <c r="G23" s="168">
        <f t="shared" si="5"/>
        <v>76349.52</v>
      </c>
      <c r="H23" s="127">
        <f t="shared" si="5"/>
        <v>-10498.729999999996</v>
      </c>
      <c r="I23" s="127">
        <f t="shared" si="5"/>
        <v>-4774.3</v>
      </c>
      <c r="J23" s="127">
        <f t="shared" si="5"/>
        <v>7726.66</v>
      </c>
      <c r="K23" s="127">
        <f t="shared" si="5"/>
        <v>54538.020000000019</v>
      </c>
      <c r="L23" s="127">
        <f t="shared" si="5"/>
        <v>-105.2300000000032</v>
      </c>
      <c r="M23" s="127">
        <f t="shared" si="5"/>
        <v>17040.980000000007</v>
      </c>
      <c r="N23" s="133">
        <f t="shared" si="5"/>
        <v>18120.560000000005</v>
      </c>
      <c r="P23" s="181">
        <f>M23</f>
        <v>17040.980000000007</v>
      </c>
    </row>
    <row r="24" spans="1:17" x14ac:dyDescent="0.2">
      <c r="A24" s="178"/>
      <c r="B24" s="138"/>
      <c r="C24" s="17"/>
      <c r="D24" s="161"/>
      <c r="E24" s="17"/>
      <c r="F24" s="17"/>
      <c r="G24" s="161"/>
      <c r="H24" s="17"/>
      <c r="I24" s="17"/>
      <c r="J24" s="17"/>
      <c r="K24" s="17"/>
      <c r="L24" s="17"/>
      <c r="M24" s="17"/>
      <c r="N24" s="79"/>
      <c r="P24" s="181">
        <v>1000658.6</v>
      </c>
    </row>
    <row r="25" spans="1:17" ht="31.5" x14ac:dyDescent="0.2">
      <c r="A25" s="178"/>
      <c r="B25" s="139" t="s">
        <v>31</v>
      </c>
      <c r="C25" s="20"/>
      <c r="D25" s="162" t="s">
        <v>32</v>
      </c>
      <c r="E25" s="20"/>
      <c r="F25" s="20" t="s">
        <v>32</v>
      </c>
      <c r="G25" s="162" t="s">
        <v>32</v>
      </c>
      <c r="H25" s="20" t="s">
        <v>32</v>
      </c>
      <c r="I25" s="20" t="s">
        <v>32</v>
      </c>
      <c r="J25" s="20" t="s">
        <v>32</v>
      </c>
      <c r="K25" s="20" t="s">
        <v>32</v>
      </c>
      <c r="L25" s="20" t="s">
        <v>32</v>
      </c>
      <c r="M25" s="20" t="s">
        <v>32</v>
      </c>
      <c r="N25" s="140" t="s">
        <v>32</v>
      </c>
    </row>
    <row r="26" spans="1:17" x14ac:dyDescent="0.2">
      <c r="A26" s="178"/>
      <c r="B26" s="141" t="str">
        <f>B7</f>
        <v>Empresa:</v>
      </c>
      <c r="C26" s="23"/>
      <c r="D26" s="163"/>
      <c r="E26" s="23"/>
      <c r="F26" s="23"/>
      <c r="G26" s="163"/>
      <c r="H26" s="23"/>
      <c r="I26" s="23"/>
      <c r="J26" s="23"/>
      <c r="K26" s="23"/>
      <c r="L26" s="23"/>
      <c r="M26" s="23"/>
      <c r="N26" s="142"/>
      <c r="P26" s="181">
        <f>P23-P24</f>
        <v>-983617.62</v>
      </c>
    </row>
    <row r="27" spans="1:17" ht="21" x14ac:dyDescent="0.2">
      <c r="A27" s="178"/>
      <c r="B27" s="143" t="s">
        <v>15</v>
      </c>
      <c r="C27" s="156">
        <f t="shared" ref="C27:N28" si="6">C8</f>
        <v>119223.54</v>
      </c>
      <c r="D27" s="164">
        <f t="shared" si="6"/>
        <v>85947.66</v>
      </c>
      <c r="E27" s="124">
        <f t="shared" si="6"/>
        <v>142225.81</v>
      </c>
      <c r="F27" s="124">
        <f t="shared" si="6"/>
        <v>112136.22</v>
      </c>
      <c r="G27" s="169">
        <f t="shared" si="6"/>
        <v>108958.68000000001</v>
      </c>
      <c r="H27" s="26">
        <f t="shared" si="6"/>
        <v>56116.800000000003</v>
      </c>
      <c r="I27" s="26">
        <f t="shared" si="6"/>
        <v>22562.01</v>
      </c>
      <c r="J27" s="26">
        <f t="shared" si="6"/>
        <v>36201.39</v>
      </c>
      <c r="K27" s="26">
        <f t="shared" si="6"/>
        <v>119281.27</v>
      </c>
      <c r="L27" s="26">
        <f t="shared" si="6"/>
        <v>33258.99</v>
      </c>
      <c r="M27" s="26">
        <f t="shared" si="6"/>
        <v>38803.050000000003</v>
      </c>
      <c r="N27" s="144">
        <f t="shared" si="6"/>
        <v>44421.05</v>
      </c>
    </row>
    <row r="28" spans="1:17" ht="33.75" x14ac:dyDescent="0.2">
      <c r="A28" s="178"/>
      <c r="B28" s="134" t="s">
        <v>16</v>
      </c>
      <c r="C28" s="152">
        <f t="shared" si="6"/>
        <v>-5821.95</v>
      </c>
      <c r="D28" s="152">
        <f t="shared" si="6"/>
        <v>-9322.31</v>
      </c>
      <c r="E28" s="152">
        <f t="shared" si="6"/>
        <v>-6627.35</v>
      </c>
      <c r="F28" s="152">
        <f t="shared" si="6"/>
        <v>-5768.95</v>
      </c>
      <c r="G28" s="174">
        <f t="shared" si="6"/>
        <v>-4912.3900000000003</v>
      </c>
      <c r="H28" s="152">
        <f t="shared" si="6"/>
        <v>-6084.64</v>
      </c>
      <c r="I28" s="152">
        <f t="shared" si="6"/>
        <v>-4419.08</v>
      </c>
      <c r="J28" s="152">
        <f t="shared" si="6"/>
        <v>-4060.53</v>
      </c>
      <c r="K28" s="174">
        <f t="shared" si="6"/>
        <v>-3649.93</v>
      </c>
      <c r="L28" s="10">
        <f t="shared" si="6"/>
        <v>-1623.97</v>
      </c>
      <c r="M28" s="10">
        <f t="shared" si="6"/>
        <v>-2229.02</v>
      </c>
      <c r="N28" s="135">
        <f t="shared" si="6"/>
        <v>-1423.7</v>
      </c>
    </row>
    <row r="29" spans="1:17" ht="21" x14ac:dyDescent="0.2">
      <c r="A29" s="178"/>
      <c r="B29" s="143" t="s">
        <v>17</v>
      </c>
      <c r="C29" s="156">
        <f t="shared" ref="C29:N29" si="7">C27+C28</f>
        <v>113401.59</v>
      </c>
      <c r="D29" s="164">
        <f t="shared" si="7"/>
        <v>76625.350000000006</v>
      </c>
      <c r="E29" s="164">
        <f t="shared" si="7"/>
        <v>135598.46</v>
      </c>
      <c r="F29" s="164">
        <f t="shared" si="7"/>
        <v>106367.27</v>
      </c>
      <c r="G29" s="169">
        <f t="shared" si="7"/>
        <v>104046.29000000001</v>
      </c>
      <c r="H29" s="26">
        <f t="shared" si="7"/>
        <v>50032.160000000003</v>
      </c>
      <c r="I29" s="26">
        <f t="shared" si="7"/>
        <v>18142.93</v>
      </c>
      <c r="J29" s="26">
        <f t="shared" si="7"/>
        <v>32140.86</v>
      </c>
      <c r="K29" s="26">
        <f t="shared" si="7"/>
        <v>115631.34000000001</v>
      </c>
      <c r="L29" s="26">
        <f t="shared" si="7"/>
        <v>31635.019999999997</v>
      </c>
      <c r="M29" s="26">
        <f t="shared" si="7"/>
        <v>36574.030000000006</v>
      </c>
      <c r="N29" s="144">
        <f t="shared" si="7"/>
        <v>42997.350000000006</v>
      </c>
    </row>
    <row r="30" spans="1:17" ht="33.75" x14ac:dyDescent="0.2">
      <c r="A30" s="178"/>
      <c r="B30" s="134" t="s">
        <v>33</v>
      </c>
      <c r="C30" s="152">
        <f t="shared" ref="C30:N30" si="8">C12</f>
        <v>0</v>
      </c>
      <c r="D30" s="152">
        <f t="shared" si="8"/>
        <v>-1985.01</v>
      </c>
      <c r="E30" s="152">
        <f t="shared" si="8"/>
        <v>-604.08000000000004</v>
      </c>
      <c r="F30" s="152">
        <f t="shared" si="8"/>
        <v>-1188.5999999999999</v>
      </c>
      <c r="G30" s="174">
        <f t="shared" si="8"/>
        <v>-60</v>
      </c>
      <c r="H30" s="152">
        <f t="shared" si="8"/>
        <v>-60</v>
      </c>
      <c r="I30" s="152">
        <f t="shared" si="8"/>
        <v>0</v>
      </c>
      <c r="J30" s="152">
        <f t="shared" si="8"/>
        <v>0</v>
      </c>
      <c r="K30" s="174">
        <f t="shared" si="8"/>
        <v>0</v>
      </c>
      <c r="L30" s="10">
        <f t="shared" si="8"/>
        <v>0</v>
      </c>
      <c r="M30" s="10">
        <f t="shared" si="8"/>
        <v>0</v>
      </c>
      <c r="N30" s="135">
        <f t="shared" si="8"/>
        <v>0</v>
      </c>
    </row>
    <row r="31" spans="1:17" x14ac:dyDescent="0.2">
      <c r="A31" s="178"/>
      <c r="B31" s="143" t="s">
        <v>19</v>
      </c>
      <c r="C31" s="156">
        <f t="shared" ref="C31:N31" si="9">C29+C30</f>
        <v>113401.59</v>
      </c>
      <c r="D31" s="156">
        <f t="shared" si="9"/>
        <v>74640.340000000011</v>
      </c>
      <c r="E31" s="156">
        <f t="shared" si="9"/>
        <v>134994.38</v>
      </c>
      <c r="F31" s="164">
        <f t="shared" si="9"/>
        <v>105178.67</v>
      </c>
      <c r="G31" s="169">
        <f t="shared" si="9"/>
        <v>103986.29000000001</v>
      </c>
      <c r="H31" s="26">
        <f t="shared" si="9"/>
        <v>49972.160000000003</v>
      </c>
      <c r="I31" s="26">
        <f t="shared" si="9"/>
        <v>18142.93</v>
      </c>
      <c r="J31" s="26">
        <f t="shared" si="9"/>
        <v>32140.86</v>
      </c>
      <c r="K31" s="26">
        <f t="shared" si="9"/>
        <v>115631.34000000001</v>
      </c>
      <c r="L31" s="26">
        <f t="shared" si="9"/>
        <v>31635.019999999997</v>
      </c>
      <c r="M31" s="26">
        <f t="shared" si="9"/>
        <v>36574.030000000006</v>
      </c>
      <c r="N31" s="144">
        <f t="shared" si="9"/>
        <v>42997.350000000006</v>
      </c>
    </row>
    <row r="32" spans="1:17" ht="22.5" x14ac:dyDescent="0.2">
      <c r="A32" s="178"/>
      <c r="B32" s="134" t="s">
        <v>20</v>
      </c>
      <c r="C32" s="152">
        <f t="shared" ref="C32:N32" si="10">SUM(C33:C34)</f>
        <v>-40091.980000000003</v>
      </c>
      <c r="D32" s="152">
        <f t="shared" si="10"/>
        <v>-23360.520000000004</v>
      </c>
      <c r="E32" s="152">
        <f t="shared" si="10"/>
        <v>-33602.369999999995</v>
      </c>
      <c r="F32" s="152">
        <f t="shared" si="10"/>
        <v>-27633.950000000004</v>
      </c>
      <c r="G32" s="174">
        <f t="shared" si="10"/>
        <v>-27732.229999999996</v>
      </c>
      <c r="H32" s="152">
        <f t="shared" si="10"/>
        <v>-30013.7</v>
      </c>
      <c r="I32" s="152">
        <f t="shared" si="10"/>
        <v>-23071.27</v>
      </c>
      <c r="J32" s="152">
        <f t="shared" si="10"/>
        <v>-24560.639999999999</v>
      </c>
      <c r="K32" s="174">
        <f t="shared" si="10"/>
        <v>-38979.050000000003</v>
      </c>
      <c r="L32" s="10">
        <f t="shared" si="10"/>
        <v>-31614.49</v>
      </c>
      <c r="M32" s="10">
        <f t="shared" si="10"/>
        <v>-19800.84</v>
      </c>
      <c r="N32" s="135">
        <f t="shared" si="10"/>
        <v>-17630.75</v>
      </c>
    </row>
    <row r="33" spans="1:14" ht="22.5" x14ac:dyDescent="0.2">
      <c r="A33" s="178"/>
      <c r="B33" s="134" t="s">
        <v>21</v>
      </c>
      <c r="C33" s="152">
        <f>C15</f>
        <v>-7149.22</v>
      </c>
      <c r="D33" s="152">
        <f t="shared" ref="D33:N34" si="11">D15</f>
        <v>-4486.01</v>
      </c>
      <c r="E33" s="152">
        <f t="shared" si="11"/>
        <v>-7800.7</v>
      </c>
      <c r="F33" s="159">
        <f t="shared" si="11"/>
        <v>0</v>
      </c>
      <c r="G33" s="159">
        <f t="shared" si="11"/>
        <v>0</v>
      </c>
      <c r="H33" s="10">
        <f t="shared" si="11"/>
        <v>0</v>
      </c>
      <c r="I33" s="10">
        <f t="shared" si="11"/>
        <v>0</v>
      </c>
      <c r="J33" s="10">
        <f t="shared" si="11"/>
        <v>0</v>
      </c>
      <c r="K33" s="10">
        <f t="shared" si="11"/>
        <v>0</v>
      </c>
      <c r="L33" s="10">
        <f t="shared" si="11"/>
        <v>0</v>
      </c>
      <c r="M33" s="10">
        <f t="shared" si="11"/>
        <v>0</v>
      </c>
      <c r="N33" s="135">
        <f t="shared" si="11"/>
        <v>0</v>
      </c>
    </row>
    <row r="34" spans="1:14" ht="22.5" x14ac:dyDescent="0.2">
      <c r="A34" s="178"/>
      <c r="B34" s="134" t="s">
        <v>22</v>
      </c>
      <c r="C34" s="152">
        <f>SUM(C16)</f>
        <v>-32942.76</v>
      </c>
      <c r="D34" s="152">
        <f t="shared" si="11"/>
        <v>-18874.510000000002</v>
      </c>
      <c r="E34" s="152">
        <f t="shared" si="11"/>
        <v>-25801.67</v>
      </c>
      <c r="F34" s="152">
        <f t="shared" si="11"/>
        <v>-27633.950000000004</v>
      </c>
      <c r="G34" s="174">
        <f t="shared" si="11"/>
        <v>-27732.229999999996</v>
      </c>
      <c r="H34" s="152">
        <f t="shared" si="11"/>
        <v>-30013.7</v>
      </c>
      <c r="I34" s="152">
        <f t="shared" si="11"/>
        <v>-23071.27</v>
      </c>
      <c r="J34" s="152">
        <f t="shared" si="11"/>
        <v>-24560.639999999999</v>
      </c>
      <c r="K34" s="175">
        <f t="shared" si="11"/>
        <v>-38979.050000000003</v>
      </c>
      <c r="L34" s="174">
        <f t="shared" si="11"/>
        <v>-31614.49</v>
      </c>
      <c r="M34" s="10">
        <f t="shared" si="11"/>
        <v>-19800.84</v>
      </c>
      <c r="N34" s="135">
        <f t="shared" si="11"/>
        <v>-17630.75</v>
      </c>
    </row>
    <row r="35" spans="1:14" x14ac:dyDescent="0.2">
      <c r="A35" s="178"/>
      <c r="B35" s="145" t="s">
        <v>34</v>
      </c>
      <c r="C35" s="157">
        <f t="shared" ref="C35:N35" si="12">C31+C32</f>
        <v>73309.609999999986</v>
      </c>
      <c r="D35" s="165">
        <f t="shared" si="12"/>
        <v>51279.820000000007</v>
      </c>
      <c r="E35" s="165">
        <f t="shared" si="12"/>
        <v>101392.01000000001</v>
      </c>
      <c r="F35" s="165">
        <f t="shared" si="12"/>
        <v>77544.72</v>
      </c>
      <c r="G35" s="165">
        <f t="shared" si="12"/>
        <v>76254.060000000012</v>
      </c>
      <c r="H35" s="29">
        <f t="shared" si="12"/>
        <v>19958.460000000003</v>
      </c>
      <c r="I35" s="29">
        <f t="shared" si="12"/>
        <v>-4928.34</v>
      </c>
      <c r="J35" s="29">
        <f t="shared" si="12"/>
        <v>7580.2200000000012</v>
      </c>
      <c r="K35" s="29">
        <f t="shared" si="12"/>
        <v>76652.290000000008</v>
      </c>
      <c r="L35" s="29">
        <f t="shared" si="12"/>
        <v>20.529999999995198</v>
      </c>
      <c r="M35" s="29">
        <f t="shared" si="12"/>
        <v>16773.190000000006</v>
      </c>
      <c r="N35" s="146">
        <f t="shared" si="12"/>
        <v>25366.600000000006</v>
      </c>
    </row>
    <row r="36" spans="1:14" x14ac:dyDescent="0.2">
      <c r="A36" s="178"/>
      <c r="B36" s="134" t="s">
        <v>35</v>
      </c>
      <c r="C36" s="152">
        <v>3947.87</v>
      </c>
      <c r="D36" s="159">
        <v>3947.87</v>
      </c>
      <c r="E36" s="159">
        <v>3947.87</v>
      </c>
      <c r="F36" s="159">
        <v>3947.87</v>
      </c>
      <c r="G36" s="159">
        <v>3947.87</v>
      </c>
      <c r="H36" s="159">
        <v>3947.87</v>
      </c>
      <c r="I36" s="10">
        <v>3947.87</v>
      </c>
      <c r="J36" s="10">
        <v>3947.87</v>
      </c>
      <c r="K36" s="10">
        <v>3947.87</v>
      </c>
      <c r="L36" s="10">
        <v>3947.87</v>
      </c>
      <c r="M36" s="10">
        <v>3947.87</v>
      </c>
      <c r="N36" s="135">
        <v>3776.36</v>
      </c>
    </row>
    <row r="37" spans="1:14" x14ac:dyDescent="0.2">
      <c r="A37" s="178"/>
      <c r="B37" s="145" t="s">
        <v>36</v>
      </c>
      <c r="C37" s="157">
        <f t="shared" ref="C37:N37" si="13">C35+C36</f>
        <v>77257.479999999981</v>
      </c>
      <c r="D37" s="165">
        <f t="shared" si="13"/>
        <v>55227.69000000001</v>
      </c>
      <c r="E37" s="126">
        <f t="shared" si="13"/>
        <v>105339.88</v>
      </c>
      <c r="F37" s="126">
        <f t="shared" si="13"/>
        <v>81492.59</v>
      </c>
      <c r="G37" s="165">
        <f t="shared" si="13"/>
        <v>80201.930000000008</v>
      </c>
      <c r="H37" s="29">
        <f t="shared" si="13"/>
        <v>23906.33</v>
      </c>
      <c r="I37" s="29">
        <f t="shared" si="13"/>
        <v>-980.47000000000025</v>
      </c>
      <c r="J37" s="29">
        <f t="shared" si="13"/>
        <v>11528.09</v>
      </c>
      <c r="K37" s="29">
        <f t="shared" si="13"/>
        <v>80600.160000000003</v>
      </c>
      <c r="L37" s="29">
        <f t="shared" si="13"/>
        <v>3968.3999999999951</v>
      </c>
      <c r="M37" s="29">
        <f t="shared" si="13"/>
        <v>20721.060000000005</v>
      </c>
      <c r="N37" s="146">
        <f t="shared" si="13"/>
        <v>29142.960000000006</v>
      </c>
    </row>
    <row r="38" spans="1:14" x14ac:dyDescent="0.2">
      <c r="A38" s="178"/>
      <c r="B38" s="147" t="s">
        <v>37</v>
      </c>
      <c r="C38" s="32" t="s">
        <v>38</v>
      </c>
      <c r="D38" s="176">
        <f>D37/C37-1</f>
        <v>-0.28514766466625596</v>
      </c>
      <c r="E38" s="33">
        <f t="shared" ref="E38:N38" si="14">E37/D37-1</f>
        <v>0.9073743623895909</v>
      </c>
      <c r="F38" s="33">
        <f t="shared" si="14"/>
        <v>-0.22638425257366923</v>
      </c>
      <c r="G38" s="176">
        <f t="shared" si="14"/>
        <v>-1.5837758991338879E-2</v>
      </c>
      <c r="H38" s="33">
        <f t="shared" si="14"/>
        <v>-0.70192325795651045</v>
      </c>
      <c r="I38" s="33">
        <f t="shared" si="14"/>
        <v>-1.0410129869369327</v>
      </c>
      <c r="J38" s="33">
        <f t="shared" si="14"/>
        <v>-12.757718237171966</v>
      </c>
      <c r="K38" s="33">
        <f>K37/J37-1</f>
        <v>5.9916317447209382</v>
      </c>
      <c r="L38" s="33">
        <f>L37/K37-1</f>
        <v>-0.95076436572830636</v>
      </c>
      <c r="M38" s="33">
        <f t="shared" si="14"/>
        <v>4.2215149682491759</v>
      </c>
      <c r="N38" s="83">
        <f t="shared" si="14"/>
        <v>0.40644156235250506</v>
      </c>
    </row>
    <row r="39" spans="1:14" x14ac:dyDescent="0.2">
      <c r="A39" s="178"/>
      <c r="B39" s="147" t="s">
        <v>39</v>
      </c>
      <c r="C39" s="32"/>
      <c r="D39" s="35">
        <f>1*(D38/100+1)</f>
        <v>0.99714852335333748</v>
      </c>
      <c r="E39" s="35">
        <f t="shared" ref="E39:N39" si="15">D39*(E38/100+1)</f>
        <v>1.006196393409192</v>
      </c>
      <c r="F39" s="35">
        <f t="shared" si="15"/>
        <v>1.0039185232245493</v>
      </c>
      <c r="G39" s="171">
        <f t="shared" si="15"/>
        <v>1.0037595250283715</v>
      </c>
      <c r="H39" s="35">
        <f t="shared" si="15"/>
        <v>0.99671390346824362</v>
      </c>
      <c r="I39" s="35">
        <f t="shared" si="15"/>
        <v>0.98633798229053316</v>
      </c>
      <c r="J39" s="35">
        <f t="shared" si="15"/>
        <v>0.86050376164369979</v>
      </c>
      <c r="K39" s="35">
        <f t="shared" si="15"/>
        <v>0.91206197819086154</v>
      </c>
      <c r="L39" s="35">
        <f t="shared" si="15"/>
        <v>0.90339041790886609</v>
      </c>
      <c r="M39" s="35">
        <f t="shared" si="15"/>
        <v>0.94152717962261778</v>
      </c>
      <c r="N39" s="84">
        <f t="shared" si="15"/>
        <v>0.94535393740144935</v>
      </c>
    </row>
    <row r="40" spans="1:14" ht="13.5" thickBot="1" x14ac:dyDescent="0.25">
      <c r="A40" s="178"/>
      <c r="B40" s="148" t="s">
        <v>39</v>
      </c>
      <c r="C40" s="149" t="s">
        <v>38</v>
      </c>
      <c r="D40" s="150">
        <f t="shared" ref="D40:N40" si="16">D39-1</f>
        <v>-2.8514766466625208E-3</v>
      </c>
      <c r="E40" s="150">
        <f t="shared" si="16"/>
        <v>6.1963934091919803E-3</v>
      </c>
      <c r="F40" s="150">
        <f t="shared" si="16"/>
        <v>3.9185232245493307E-3</v>
      </c>
      <c r="G40" s="172">
        <f t="shared" si="16"/>
        <v>3.7595250283715131E-3</v>
      </c>
      <c r="H40" s="150">
        <f t="shared" si="16"/>
        <v>-3.2860965317563773E-3</v>
      </c>
      <c r="I40" s="150">
        <f t="shared" si="16"/>
        <v>-1.3662017709466845E-2</v>
      </c>
      <c r="J40" s="150">
        <f t="shared" si="16"/>
        <v>-0.13949623835630021</v>
      </c>
      <c r="K40" s="150">
        <f t="shared" si="16"/>
        <v>-8.7938021809138456E-2</v>
      </c>
      <c r="L40" s="150">
        <f t="shared" si="16"/>
        <v>-9.6609582091133905E-2</v>
      </c>
      <c r="M40" s="150">
        <f t="shared" si="16"/>
        <v>-5.8472820377382217E-2</v>
      </c>
      <c r="N40" s="85">
        <f t="shared" si="16"/>
        <v>-5.4646062598550649E-2</v>
      </c>
    </row>
    <row r="45" spans="1:14" x14ac:dyDescent="0.2">
      <c r="G45" s="166">
        <f>D37/C37-1</f>
        <v>-0.28514766466625596</v>
      </c>
    </row>
    <row r="47" spans="1:14" x14ac:dyDescent="0.2">
      <c r="I47" s="173"/>
    </row>
    <row r="50" spans="4:8" x14ac:dyDescent="0.2">
      <c r="D50" s="183"/>
    </row>
    <row r="57" spans="4:8" x14ac:dyDescent="0.2">
      <c r="H57" s="2">
        <v>47617.04</v>
      </c>
    </row>
    <row r="58" spans="4:8" x14ac:dyDescent="0.2">
      <c r="H58" s="2">
        <v>11526.98</v>
      </c>
    </row>
    <row r="59" spans="4:8" x14ac:dyDescent="0.2">
      <c r="H59" s="2">
        <v>61193.919999999998</v>
      </c>
    </row>
    <row r="60" spans="4:8" x14ac:dyDescent="0.2">
      <c r="H60" s="2">
        <v>2205.54</v>
      </c>
    </row>
    <row r="61" spans="4:8" x14ac:dyDescent="0.2">
      <c r="H61" s="2">
        <v>25700.639999999999</v>
      </c>
    </row>
    <row r="62" spans="4:8" x14ac:dyDescent="0.2">
      <c r="H62" s="2">
        <v>6354.88</v>
      </c>
    </row>
  </sheetData>
  <mergeCells count="2">
    <mergeCell ref="B5:N5"/>
    <mergeCell ref="C6:N6"/>
  </mergeCells>
  <pageMargins left="0.28999999999999998" right="0.23622047244094491" top="0.86614173228346458" bottom="0.98425196850393704" header="0.98425196850393704" footer="0.51181102362204722"/>
  <pageSetup paperSize="9" scale="62" orientation="landscape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62"/>
  <sheetViews>
    <sheetView tabSelected="1" topLeftCell="B29" zoomScaleNormal="100" workbookViewId="0">
      <selection activeCell="M37" sqref="M37"/>
    </sheetView>
  </sheetViews>
  <sheetFormatPr defaultColWidth="11.5703125" defaultRowHeight="12.75" x14ac:dyDescent="0.2"/>
  <cols>
    <col min="1" max="1" width="6.42578125" style="2" customWidth="1"/>
    <col min="2" max="2" width="18.42578125" style="2" customWidth="1"/>
    <col min="3" max="3" width="10.5703125" style="2" customWidth="1"/>
    <col min="4" max="5" width="10" style="2" customWidth="1"/>
    <col min="6" max="6" width="9.85546875" style="2" customWidth="1"/>
    <col min="7" max="7" width="10.42578125" style="166" customWidth="1"/>
    <col min="8" max="12" width="10.85546875" style="2" customWidth="1"/>
    <col min="13" max="13" width="12.42578125" style="2" customWidth="1"/>
    <col min="14" max="14" width="10.85546875" style="2" customWidth="1"/>
    <col min="15" max="15" width="11.5703125" style="2"/>
    <col min="16" max="16" width="12.28515625" style="2" customWidth="1"/>
    <col min="17" max="16384" width="11.5703125" style="2"/>
  </cols>
  <sheetData>
    <row r="1" spans="1:16" x14ac:dyDescent="0.2">
      <c r="A1" s="178"/>
      <c r="B1" s="178"/>
      <c r="C1" s="178"/>
      <c r="D1" s="178"/>
      <c r="E1" s="178"/>
      <c r="F1" s="178"/>
      <c r="G1" s="179"/>
      <c r="H1" s="178"/>
      <c r="I1" s="178"/>
      <c r="J1" s="178"/>
      <c r="K1" s="178"/>
      <c r="L1" s="178"/>
      <c r="M1" s="178"/>
      <c r="N1" s="178"/>
    </row>
    <row r="2" spans="1:16" ht="18.75" x14ac:dyDescent="0.3">
      <c r="A2" s="178"/>
      <c r="B2" s="180" t="s">
        <v>44</v>
      </c>
      <c r="C2" s="178"/>
      <c r="D2" s="178"/>
      <c r="E2" s="178"/>
      <c r="F2" s="178"/>
      <c r="G2" s="179"/>
      <c r="H2" s="178"/>
      <c r="I2" s="178"/>
      <c r="J2" s="178"/>
      <c r="K2" s="178"/>
      <c r="L2" s="178"/>
      <c r="M2" s="178"/>
      <c r="N2" s="178"/>
    </row>
    <row r="3" spans="1:16" x14ac:dyDescent="0.2">
      <c r="A3" s="178"/>
      <c r="B3" s="178"/>
      <c r="C3" s="178"/>
      <c r="D3" s="178"/>
      <c r="E3" s="178"/>
      <c r="F3" s="178"/>
      <c r="G3" s="179"/>
      <c r="H3" s="178"/>
      <c r="I3" s="178"/>
      <c r="J3" s="178"/>
      <c r="K3" s="178"/>
      <c r="L3" s="178"/>
      <c r="M3" s="178"/>
      <c r="N3" s="178"/>
    </row>
    <row r="4" spans="1:16" ht="13.5" thickBot="1" x14ac:dyDescent="0.25">
      <c r="A4" s="178"/>
      <c r="B4" s="178"/>
      <c r="C4" s="178"/>
      <c r="D4" s="178"/>
      <c r="E4" s="178"/>
      <c r="F4" s="178"/>
      <c r="G4" s="179"/>
      <c r="H4" s="178"/>
      <c r="I4" s="178"/>
      <c r="J4" s="178"/>
      <c r="K4" s="178"/>
      <c r="L4" s="178"/>
      <c r="M4" s="178"/>
      <c r="N4" s="178"/>
    </row>
    <row r="5" spans="1:16" ht="25.5" customHeight="1" thickBot="1" x14ac:dyDescent="0.25">
      <c r="A5" s="178"/>
      <c r="B5" s="192" t="s">
        <v>49</v>
      </c>
      <c r="C5" s="193"/>
      <c r="D5" s="193"/>
      <c r="E5" s="193"/>
      <c r="F5" s="193"/>
      <c r="G5" s="193"/>
      <c r="H5" s="193"/>
      <c r="I5" s="193"/>
      <c r="J5" s="193"/>
      <c r="K5" s="193"/>
      <c r="L5" s="193"/>
      <c r="M5" s="193"/>
      <c r="N5" s="194"/>
    </row>
    <row r="6" spans="1:16" x14ac:dyDescent="0.2">
      <c r="A6" s="178"/>
      <c r="B6" s="129" t="s">
        <v>0</v>
      </c>
      <c r="C6" s="188" t="s">
        <v>1</v>
      </c>
      <c r="D6" s="188"/>
      <c r="E6" s="188"/>
      <c r="F6" s="188"/>
      <c r="G6" s="188"/>
      <c r="H6" s="188"/>
      <c r="I6" s="188"/>
      <c r="J6" s="188"/>
      <c r="K6" s="188"/>
      <c r="L6" s="188"/>
      <c r="M6" s="188"/>
      <c r="N6" s="195"/>
    </row>
    <row r="7" spans="1:16" x14ac:dyDescent="0.2">
      <c r="A7" s="178"/>
      <c r="B7" s="130" t="s">
        <v>2</v>
      </c>
      <c r="C7" s="4" t="s">
        <v>3</v>
      </c>
      <c r="D7" s="4" t="s">
        <v>4</v>
      </c>
      <c r="E7" s="4" t="s">
        <v>5</v>
      </c>
      <c r="F7" s="4" t="s">
        <v>6</v>
      </c>
      <c r="G7" s="167" t="s">
        <v>7</v>
      </c>
      <c r="H7" s="4" t="s">
        <v>8</v>
      </c>
      <c r="I7" s="4" t="s">
        <v>9</v>
      </c>
      <c r="J7" s="4" t="s">
        <v>10</v>
      </c>
      <c r="K7" s="4" t="s">
        <v>11</v>
      </c>
      <c r="L7" s="4" t="s">
        <v>12</v>
      </c>
      <c r="M7" s="4" t="s">
        <v>13</v>
      </c>
      <c r="N7" s="131" t="s">
        <v>14</v>
      </c>
    </row>
    <row r="8" spans="1:16" ht="21" x14ac:dyDescent="0.2">
      <c r="A8" s="178"/>
      <c r="B8" s="132" t="s">
        <v>15</v>
      </c>
      <c r="C8" s="151">
        <v>72066.87</v>
      </c>
      <c r="D8" s="158">
        <v>50759.15</v>
      </c>
      <c r="E8" s="122">
        <v>44271.34</v>
      </c>
      <c r="F8" s="122">
        <v>12297.51</v>
      </c>
      <c r="G8" s="168">
        <v>61393.96</v>
      </c>
      <c r="H8" s="127">
        <v>33057.620000000003</v>
      </c>
      <c r="I8" s="127">
        <v>32994.9</v>
      </c>
      <c r="J8" s="127">
        <v>115043.07</v>
      </c>
      <c r="K8" s="127">
        <v>155980.35999999999</v>
      </c>
      <c r="L8" s="127">
        <v>84899.44</v>
      </c>
      <c r="M8" s="127">
        <v>33366.199999999997</v>
      </c>
      <c r="N8" s="133">
        <v>0</v>
      </c>
    </row>
    <row r="9" spans="1:16" ht="33.75" x14ac:dyDescent="0.2">
      <c r="A9" s="178"/>
      <c r="B9" s="134" t="s">
        <v>16</v>
      </c>
      <c r="C9" s="152">
        <v>-5057.93</v>
      </c>
      <c r="D9" s="152">
        <v>-1888.61</v>
      </c>
      <c r="E9" s="152">
        <v>-2772.67</v>
      </c>
      <c r="F9" s="152">
        <v>-1605.28</v>
      </c>
      <c r="G9" s="152">
        <v>-3602.19</v>
      </c>
      <c r="H9" s="152">
        <v>-2412.2600000000002</v>
      </c>
      <c r="I9" s="152">
        <v>-2292.85</v>
      </c>
      <c r="J9" s="152">
        <v>-3448.84</v>
      </c>
      <c r="K9" s="152">
        <v>-4964.55</v>
      </c>
      <c r="L9" s="152">
        <v>-3896.25</v>
      </c>
      <c r="M9" s="177">
        <v>-1737.47</v>
      </c>
      <c r="N9" s="177">
        <v>0</v>
      </c>
    </row>
    <row r="10" spans="1:16" x14ac:dyDescent="0.2">
      <c r="A10" s="178"/>
      <c r="B10" s="134" t="s">
        <v>40</v>
      </c>
      <c r="C10" s="152">
        <v>0</v>
      </c>
      <c r="D10" s="159">
        <v>0</v>
      </c>
      <c r="E10" s="10">
        <v>0</v>
      </c>
      <c r="F10" s="10">
        <v>0</v>
      </c>
      <c r="G10" s="159">
        <v>0</v>
      </c>
      <c r="H10" s="10">
        <v>0</v>
      </c>
      <c r="I10" s="10"/>
      <c r="J10" s="10"/>
      <c r="K10" s="10"/>
      <c r="L10" s="10"/>
      <c r="M10" s="10"/>
      <c r="N10" s="135"/>
    </row>
    <row r="11" spans="1:16" ht="21" x14ac:dyDescent="0.2">
      <c r="A11" s="178"/>
      <c r="B11" s="132" t="s">
        <v>17</v>
      </c>
      <c r="C11" s="151">
        <f t="shared" ref="C11:N11" si="0">SUM(C8:C10)</f>
        <v>67008.94</v>
      </c>
      <c r="D11" s="158">
        <f t="shared" si="0"/>
        <v>48870.54</v>
      </c>
      <c r="E11" s="122">
        <f t="shared" si="0"/>
        <v>41498.67</v>
      </c>
      <c r="F11" s="122">
        <f t="shared" si="0"/>
        <v>10692.23</v>
      </c>
      <c r="G11" s="168">
        <f t="shared" si="0"/>
        <v>57791.77</v>
      </c>
      <c r="H11" s="127">
        <f t="shared" si="0"/>
        <v>30645.360000000001</v>
      </c>
      <c r="I11" s="127">
        <f t="shared" si="0"/>
        <v>30702.050000000003</v>
      </c>
      <c r="J11" s="127">
        <f t="shared" si="0"/>
        <v>111594.23000000001</v>
      </c>
      <c r="K11" s="127">
        <f t="shared" si="0"/>
        <v>151015.81</v>
      </c>
      <c r="L11" s="127">
        <f t="shared" si="0"/>
        <v>81003.19</v>
      </c>
      <c r="M11" s="127">
        <f t="shared" si="0"/>
        <v>31628.729999999996</v>
      </c>
      <c r="N11" s="133">
        <f t="shared" si="0"/>
        <v>0</v>
      </c>
    </row>
    <row r="12" spans="1:16" ht="33.75" x14ac:dyDescent="0.2">
      <c r="A12" s="178"/>
      <c r="B12" s="134" t="s">
        <v>18</v>
      </c>
      <c r="C12" s="152">
        <v>-4497.8</v>
      </c>
      <c r="D12" s="152">
        <v>0</v>
      </c>
      <c r="E12" s="152">
        <v>0</v>
      </c>
      <c r="F12" s="152">
        <v>0</v>
      </c>
      <c r="G12" s="152">
        <v>0</v>
      </c>
      <c r="H12" s="152">
        <v>0</v>
      </c>
      <c r="I12" s="152">
        <v>0</v>
      </c>
      <c r="J12" s="152">
        <v>-13054</v>
      </c>
      <c r="K12" s="152">
        <v>-58105.599999999999</v>
      </c>
      <c r="L12" s="152">
        <v>0</v>
      </c>
      <c r="M12" s="175">
        <v>0</v>
      </c>
      <c r="N12" s="175">
        <v>0</v>
      </c>
    </row>
    <row r="13" spans="1:16" x14ac:dyDescent="0.2">
      <c r="A13" s="178"/>
      <c r="B13" s="132" t="s">
        <v>19</v>
      </c>
      <c r="C13" s="151">
        <f t="shared" ref="C13:N13" si="1">C11+C12</f>
        <v>62511.14</v>
      </c>
      <c r="D13" s="158">
        <f t="shared" si="1"/>
        <v>48870.54</v>
      </c>
      <c r="E13" s="122">
        <f t="shared" si="1"/>
        <v>41498.67</v>
      </c>
      <c r="F13" s="122">
        <f t="shared" si="1"/>
        <v>10692.23</v>
      </c>
      <c r="G13" s="168">
        <f t="shared" si="1"/>
        <v>57791.77</v>
      </c>
      <c r="H13" s="127">
        <f t="shared" si="1"/>
        <v>30645.360000000001</v>
      </c>
      <c r="I13" s="127">
        <f t="shared" si="1"/>
        <v>30702.050000000003</v>
      </c>
      <c r="J13" s="127">
        <f t="shared" si="1"/>
        <v>98540.23000000001</v>
      </c>
      <c r="K13" s="127">
        <f t="shared" si="1"/>
        <v>92910.209999999992</v>
      </c>
      <c r="L13" s="127">
        <f t="shared" si="1"/>
        <v>81003.19</v>
      </c>
      <c r="M13" s="127">
        <f t="shared" si="1"/>
        <v>31628.729999999996</v>
      </c>
      <c r="N13" s="133">
        <f t="shared" si="1"/>
        <v>0</v>
      </c>
    </row>
    <row r="14" spans="1:16" ht="22.5" x14ac:dyDescent="0.2">
      <c r="A14" s="178"/>
      <c r="B14" s="136" t="s">
        <v>20</v>
      </c>
      <c r="C14" s="153">
        <f>SUM(C16:C18)</f>
        <v>-31486.05</v>
      </c>
      <c r="D14" s="153">
        <f>SUM(D16:D18)</f>
        <v>-24433.149999999998</v>
      </c>
      <c r="E14" s="153">
        <f t="shared" ref="E14:N14" si="2">SUM(E16:E18)</f>
        <v>-22475.79</v>
      </c>
      <c r="F14" s="153">
        <f t="shared" si="2"/>
        <v>-18939.260000000002</v>
      </c>
      <c r="G14" s="153">
        <f t="shared" si="2"/>
        <v>-24291.51</v>
      </c>
      <c r="H14" s="153">
        <f t="shared" si="2"/>
        <v>-20717.949999999997</v>
      </c>
      <c r="I14" s="153">
        <f t="shared" si="2"/>
        <v>-23370.61</v>
      </c>
      <c r="J14" s="153">
        <f t="shared" si="2"/>
        <v>-25203.54</v>
      </c>
      <c r="K14" s="153">
        <f t="shared" si="2"/>
        <v>-19387.840000000004</v>
      </c>
      <c r="L14" s="153">
        <f t="shared" si="2"/>
        <v>-22493.480000000003</v>
      </c>
      <c r="M14" s="153">
        <f t="shared" si="2"/>
        <v>-19275.099999999999</v>
      </c>
      <c r="N14" s="153">
        <f t="shared" si="2"/>
        <v>0</v>
      </c>
    </row>
    <row r="15" spans="1:16" ht="22.5" x14ac:dyDescent="0.2">
      <c r="A15" s="178"/>
      <c r="B15" s="134" t="s">
        <v>21</v>
      </c>
      <c r="C15" s="159">
        <v>0</v>
      </c>
      <c r="D15" s="159">
        <v>0</v>
      </c>
      <c r="E15" s="10">
        <v>0</v>
      </c>
      <c r="F15" s="10">
        <v>0</v>
      </c>
      <c r="G15" s="159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35">
        <v>0</v>
      </c>
      <c r="P15" s="184"/>
    </row>
    <row r="16" spans="1:16" ht="22.5" x14ac:dyDescent="0.2">
      <c r="A16" s="178"/>
      <c r="B16" s="134" t="s">
        <v>22</v>
      </c>
      <c r="C16" s="152">
        <f>-23227.59-8182.07</f>
        <v>-31409.66</v>
      </c>
      <c r="D16" s="152">
        <f>-11103.11-13252.28</f>
        <v>-24355.39</v>
      </c>
      <c r="E16" s="152">
        <f>-11839.39-10636.4+22.44</f>
        <v>-22453.350000000002</v>
      </c>
      <c r="F16" s="152">
        <f>-11864.77-6991.54</f>
        <v>-18856.310000000001</v>
      </c>
      <c r="G16" s="152">
        <f>-12102.99-12111.17</f>
        <v>-24214.16</v>
      </c>
      <c r="H16" s="152">
        <f>-11814.75-8825.85</f>
        <v>-20640.599999999999</v>
      </c>
      <c r="I16" s="152">
        <f>-11512.59-11761.62</f>
        <v>-23274.21</v>
      </c>
      <c r="J16" s="152">
        <f>-11761.35-13342.29</f>
        <v>-25103.64</v>
      </c>
      <c r="K16" s="153">
        <f>-11460.94-7834</f>
        <v>-19294.940000000002</v>
      </c>
      <c r="L16" s="175">
        <f>-12147.01-10213.93</f>
        <v>-22360.940000000002</v>
      </c>
      <c r="M16" s="175">
        <f>-11654.79-7515.8</f>
        <v>-19170.59</v>
      </c>
      <c r="N16" s="182">
        <v>0</v>
      </c>
      <c r="P16" s="185"/>
    </row>
    <row r="17" spans="1:17" ht="22.5" x14ac:dyDescent="0.2">
      <c r="A17" s="178"/>
      <c r="B17" s="134" t="s">
        <v>23</v>
      </c>
      <c r="C17" s="152">
        <v>-76.39</v>
      </c>
      <c r="D17" s="152">
        <v>-77.760000000000005</v>
      </c>
      <c r="E17" s="152">
        <v>-22.44</v>
      </c>
      <c r="F17" s="152">
        <v>-82.95</v>
      </c>
      <c r="G17" s="152">
        <v>-77.349999999999994</v>
      </c>
      <c r="H17" s="152">
        <v>-77.349999999999994</v>
      </c>
      <c r="I17" s="152">
        <v>-96.4</v>
      </c>
      <c r="J17" s="152">
        <v>-99.9</v>
      </c>
      <c r="K17" s="152">
        <v>-92.9</v>
      </c>
      <c r="L17" s="152">
        <v>-132.54</v>
      </c>
      <c r="M17" s="152">
        <v>-104.51</v>
      </c>
      <c r="N17" s="152">
        <v>0</v>
      </c>
      <c r="P17" s="186"/>
    </row>
    <row r="18" spans="1:17" x14ac:dyDescent="0.2">
      <c r="A18" s="178"/>
      <c r="B18" s="134" t="s">
        <v>24</v>
      </c>
      <c r="C18" s="155" t="s">
        <v>25</v>
      </c>
      <c r="D18" s="155" t="s">
        <v>25</v>
      </c>
      <c r="E18" s="12"/>
      <c r="F18" s="12"/>
      <c r="G18" s="160"/>
      <c r="H18" s="12"/>
      <c r="I18" s="12"/>
      <c r="J18" s="12"/>
      <c r="K18" s="12"/>
      <c r="L18" s="12"/>
      <c r="M18" s="12"/>
      <c r="N18" s="137"/>
    </row>
    <row r="19" spans="1:17" x14ac:dyDescent="0.2">
      <c r="A19" s="178"/>
      <c r="B19" s="134" t="s">
        <v>26</v>
      </c>
      <c r="C19" s="152">
        <f t="shared" ref="C19:N19" si="3">C13+C14</f>
        <v>31025.09</v>
      </c>
      <c r="D19" s="159">
        <f t="shared" si="3"/>
        <v>24437.390000000003</v>
      </c>
      <c r="E19" s="10">
        <f t="shared" si="3"/>
        <v>19022.879999999997</v>
      </c>
      <c r="F19" s="10">
        <f t="shared" si="3"/>
        <v>-8247.0300000000025</v>
      </c>
      <c r="G19" s="159">
        <f t="shared" si="3"/>
        <v>33500.259999999995</v>
      </c>
      <c r="H19" s="10">
        <f t="shared" si="3"/>
        <v>9927.4100000000035</v>
      </c>
      <c r="I19" s="10">
        <f t="shared" si="3"/>
        <v>7331.4400000000023</v>
      </c>
      <c r="J19" s="10">
        <f t="shared" si="3"/>
        <v>73336.69</v>
      </c>
      <c r="K19" s="10">
        <f t="shared" si="3"/>
        <v>73522.37</v>
      </c>
      <c r="L19" s="10">
        <f t="shared" si="3"/>
        <v>58509.71</v>
      </c>
      <c r="M19" s="10">
        <f t="shared" si="3"/>
        <v>12353.629999999997</v>
      </c>
      <c r="N19" s="135">
        <f t="shared" si="3"/>
        <v>0</v>
      </c>
    </row>
    <row r="20" spans="1:17" ht="33.75" x14ac:dyDescent="0.2">
      <c r="A20" s="178"/>
      <c r="B20" s="134" t="s">
        <v>27</v>
      </c>
      <c r="C20" s="152">
        <v>256.77</v>
      </c>
      <c r="D20" s="159">
        <v>171.81</v>
      </c>
      <c r="E20" s="10">
        <v>180.02</v>
      </c>
      <c r="F20" s="10">
        <v>170.97</v>
      </c>
      <c r="G20" s="159">
        <v>156.26</v>
      </c>
      <c r="H20" s="10">
        <v>171.15</v>
      </c>
      <c r="I20" s="10">
        <v>166.12</v>
      </c>
      <c r="J20" s="10">
        <v>174.91</v>
      </c>
      <c r="K20" s="10">
        <v>174.76</v>
      </c>
      <c r="L20" s="10">
        <v>158.35</v>
      </c>
      <c r="M20" s="10">
        <v>176.61</v>
      </c>
      <c r="N20" s="135">
        <v>0</v>
      </c>
      <c r="P20" s="184"/>
      <c r="Q20" s="181"/>
    </row>
    <row r="21" spans="1:17" ht="21" x14ac:dyDescent="0.2">
      <c r="A21" s="178"/>
      <c r="B21" s="132" t="s">
        <v>28</v>
      </c>
      <c r="C21" s="151">
        <f t="shared" ref="C21:N21" si="4">C19+C20</f>
        <v>31281.86</v>
      </c>
      <c r="D21" s="158">
        <f t="shared" si="4"/>
        <v>24609.200000000004</v>
      </c>
      <c r="E21" s="122">
        <f t="shared" si="4"/>
        <v>19202.899999999998</v>
      </c>
      <c r="F21" s="122">
        <f t="shared" si="4"/>
        <v>-8076.0600000000022</v>
      </c>
      <c r="G21" s="168">
        <f t="shared" si="4"/>
        <v>33656.519999999997</v>
      </c>
      <c r="H21" s="127">
        <f t="shared" si="4"/>
        <v>10098.560000000003</v>
      </c>
      <c r="I21" s="127">
        <f t="shared" si="4"/>
        <v>7497.5600000000022</v>
      </c>
      <c r="J21" s="127">
        <f t="shared" si="4"/>
        <v>73511.600000000006</v>
      </c>
      <c r="K21" s="127">
        <f t="shared" si="4"/>
        <v>73697.12999999999</v>
      </c>
      <c r="L21" s="127">
        <f t="shared" si="4"/>
        <v>58668.06</v>
      </c>
      <c r="M21" s="127">
        <f t="shared" si="4"/>
        <v>12530.239999999998</v>
      </c>
      <c r="N21" s="133">
        <f t="shared" si="4"/>
        <v>0</v>
      </c>
    </row>
    <row r="22" spans="1:17" ht="22.5" x14ac:dyDescent="0.2">
      <c r="A22" s="178"/>
      <c r="B22" s="134" t="s">
        <v>46</v>
      </c>
      <c r="C22" s="152">
        <v>0</v>
      </c>
      <c r="D22" s="152">
        <v>0</v>
      </c>
      <c r="E22" s="152">
        <v>-14104.66</v>
      </c>
      <c r="F22" s="152">
        <v>0</v>
      </c>
      <c r="G22" s="152">
        <v>0</v>
      </c>
      <c r="H22" s="152">
        <f>-12428.74</f>
        <v>-12428.74</v>
      </c>
      <c r="I22" s="152">
        <v>0</v>
      </c>
      <c r="J22" s="152">
        <v>0</v>
      </c>
      <c r="K22" s="152">
        <v>-10710.45</v>
      </c>
      <c r="L22" s="152">
        <v>0</v>
      </c>
      <c r="M22" s="152">
        <v>0</v>
      </c>
      <c r="N22" s="152">
        <v>0</v>
      </c>
    </row>
    <row r="23" spans="1:17" x14ac:dyDescent="0.2">
      <c r="A23" s="178"/>
      <c r="B23" s="132" t="s">
        <v>30</v>
      </c>
      <c r="C23" s="151">
        <f t="shared" ref="C23:N23" si="5">C21+C22</f>
        <v>31281.86</v>
      </c>
      <c r="D23" s="158">
        <f t="shared" si="5"/>
        <v>24609.200000000004</v>
      </c>
      <c r="E23" s="122">
        <f t="shared" si="5"/>
        <v>5098.239999999998</v>
      </c>
      <c r="F23" s="122">
        <f t="shared" si="5"/>
        <v>-8076.0600000000022</v>
      </c>
      <c r="G23" s="168">
        <f t="shared" si="5"/>
        <v>33656.519999999997</v>
      </c>
      <c r="H23" s="127">
        <f t="shared" si="5"/>
        <v>-2330.1799999999967</v>
      </c>
      <c r="I23" s="127">
        <f t="shared" si="5"/>
        <v>7497.5600000000022</v>
      </c>
      <c r="J23" s="127">
        <f t="shared" si="5"/>
        <v>73511.600000000006</v>
      </c>
      <c r="K23" s="127">
        <f t="shared" si="5"/>
        <v>62986.679999999993</v>
      </c>
      <c r="L23" s="127">
        <f t="shared" si="5"/>
        <v>58668.06</v>
      </c>
      <c r="M23" s="127">
        <f t="shared" si="5"/>
        <v>12530.239999999998</v>
      </c>
      <c r="N23" s="133">
        <f t="shared" si="5"/>
        <v>0</v>
      </c>
      <c r="P23" s="181">
        <f>M23</f>
        <v>12530.239999999998</v>
      </c>
    </row>
    <row r="24" spans="1:17" x14ac:dyDescent="0.2">
      <c r="A24" s="178"/>
      <c r="B24" s="138"/>
      <c r="C24" s="17"/>
      <c r="D24" s="161"/>
      <c r="E24" s="17"/>
      <c r="F24" s="17"/>
      <c r="G24" s="161"/>
      <c r="H24" s="17"/>
      <c r="I24" s="17"/>
      <c r="J24" s="17"/>
      <c r="K24" s="17"/>
      <c r="L24" s="17"/>
      <c r="M24" s="17"/>
      <c r="N24" s="79"/>
      <c r="P24" s="181">
        <v>1000658.6</v>
      </c>
    </row>
    <row r="25" spans="1:17" ht="31.5" x14ac:dyDescent="0.2">
      <c r="A25" s="178"/>
      <c r="B25" s="139" t="s">
        <v>31</v>
      </c>
      <c r="C25" s="20"/>
      <c r="D25" s="162" t="s">
        <v>32</v>
      </c>
      <c r="E25" s="20"/>
      <c r="F25" s="20" t="s">
        <v>32</v>
      </c>
      <c r="G25" s="162" t="s">
        <v>32</v>
      </c>
      <c r="H25" s="20" t="s">
        <v>32</v>
      </c>
      <c r="I25" s="20" t="s">
        <v>32</v>
      </c>
      <c r="J25" s="20" t="s">
        <v>32</v>
      </c>
      <c r="K25" s="20" t="s">
        <v>32</v>
      </c>
      <c r="L25" s="20" t="s">
        <v>32</v>
      </c>
      <c r="M25" s="20" t="s">
        <v>32</v>
      </c>
      <c r="N25" s="140" t="s">
        <v>32</v>
      </c>
    </row>
    <row r="26" spans="1:17" x14ac:dyDescent="0.2">
      <c r="A26" s="178"/>
      <c r="B26" s="141" t="str">
        <f>B7</f>
        <v>Empresa:</v>
      </c>
      <c r="C26" s="23"/>
      <c r="D26" s="163"/>
      <c r="E26" s="23"/>
      <c r="F26" s="23"/>
      <c r="G26" s="163"/>
      <c r="H26" s="23"/>
      <c r="I26" s="23"/>
      <c r="J26" s="23"/>
      <c r="K26" s="23"/>
      <c r="L26" s="23"/>
      <c r="M26" s="23"/>
      <c r="N26" s="142"/>
      <c r="P26" s="181">
        <f>P23-P24</f>
        <v>-988128.36</v>
      </c>
    </row>
    <row r="27" spans="1:17" ht="21" x14ac:dyDescent="0.2">
      <c r="A27" s="178"/>
      <c r="B27" s="143" t="s">
        <v>15</v>
      </c>
      <c r="C27" s="156">
        <f t="shared" ref="C27:N28" si="6">C8</f>
        <v>72066.87</v>
      </c>
      <c r="D27" s="164">
        <f t="shared" si="6"/>
        <v>50759.15</v>
      </c>
      <c r="E27" s="124">
        <f t="shared" si="6"/>
        <v>44271.34</v>
      </c>
      <c r="F27" s="124">
        <f t="shared" si="6"/>
        <v>12297.51</v>
      </c>
      <c r="G27" s="169">
        <f t="shared" si="6"/>
        <v>61393.96</v>
      </c>
      <c r="H27" s="26">
        <f t="shared" si="6"/>
        <v>33057.620000000003</v>
      </c>
      <c r="I27" s="26">
        <f t="shared" si="6"/>
        <v>32994.9</v>
      </c>
      <c r="J27" s="26">
        <f t="shared" si="6"/>
        <v>115043.07</v>
      </c>
      <c r="K27" s="26">
        <f t="shared" si="6"/>
        <v>155980.35999999999</v>
      </c>
      <c r="L27" s="26">
        <f t="shared" si="6"/>
        <v>84899.44</v>
      </c>
      <c r="M27" s="26">
        <f t="shared" si="6"/>
        <v>33366.199999999997</v>
      </c>
      <c r="N27" s="144">
        <f t="shared" si="6"/>
        <v>0</v>
      </c>
    </row>
    <row r="28" spans="1:17" ht="33.75" x14ac:dyDescent="0.2">
      <c r="A28" s="178"/>
      <c r="B28" s="134" t="s">
        <v>16</v>
      </c>
      <c r="C28" s="152">
        <f t="shared" si="6"/>
        <v>-5057.93</v>
      </c>
      <c r="D28" s="152">
        <f t="shared" si="6"/>
        <v>-1888.61</v>
      </c>
      <c r="E28" s="152">
        <f t="shared" si="6"/>
        <v>-2772.67</v>
      </c>
      <c r="F28" s="152">
        <f t="shared" si="6"/>
        <v>-1605.28</v>
      </c>
      <c r="G28" s="174">
        <f t="shared" si="6"/>
        <v>-3602.19</v>
      </c>
      <c r="H28" s="152">
        <f t="shared" si="6"/>
        <v>-2412.2600000000002</v>
      </c>
      <c r="I28" s="152">
        <f t="shared" si="6"/>
        <v>-2292.85</v>
      </c>
      <c r="J28" s="152">
        <f t="shared" si="6"/>
        <v>-3448.84</v>
      </c>
      <c r="K28" s="174">
        <f t="shared" si="6"/>
        <v>-4964.55</v>
      </c>
      <c r="L28" s="10">
        <f t="shared" si="6"/>
        <v>-3896.25</v>
      </c>
      <c r="M28" s="10">
        <f t="shared" si="6"/>
        <v>-1737.47</v>
      </c>
      <c r="N28" s="135">
        <f t="shared" si="6"/>
        <v>0</v>
      </c>
    </row>
    <row r="29" spans="1:17" ht="21" x14ac:dyDescent="0.2">
      <c r="A29" s="178"/>
      <c r="B29" s="143" t="s">
        <v>17</v>
      </c>
      <c r="C29" s="156">
        <f t="shared" ref="C29:N29" si="7">C27+C28</f>
        <v>67008.94</v>
      </c>
      <c r="D29" s="164">
        <f t="shared" si="7"/>
        <v>48870.54</v>
      </c>
      <c r="E29" s="164">
        <f t="shared" si="7"/>
        <v>41498.67</v>
      </c>
      <c r="F29" s="164">
        <f t="shared" si="7"/>
        <v>10692.23</v>
      </c>
      <c r="G29" s="169">
        <f t="shared" si="7"/>
        <v>57791.77</v>
      </c>
      <c r="H29" s="26">
        <f t="shared" si="7"/>
        <v>30645.360000000001</v>
      </c>
      <c r="I29" s="26">
        <f t="shared" si="7"/>
        <v>30702.050000000003</v>
      </c>
      <c r="J29" s="26">
        <f t="shared" si="7"/>
        <v>111594.23000000001</v>
      </c>
      <c r="K29" s="26">
        <f t="shared" si="7"/>
        <v>151015.81</v>
      </c>
      <c r="L29" s="26">
        <f t="shared" si="7"/>
        <v>81003.19</v>
      </c>
      <c r="M29" s="26">
        <f t="shared" si="7"/>
        <v>31628.729999999996</v>
      </c>
      <c r="N29" s="144">
        <f t="shared" si="7"/>
        <v>0</v>
      </c>
    </row>
    <row r="30" spans="1:17" ht="33.75" x14ac:dyDescent="0.2">
      <c r="A30" s="178"/>
      <c r="B30" s="134" t="s">
        <v>33</v>
      </c>
      <c r="C30" s="152">
        <f t="shared" ref="C30:N30" si="8">C12</f>
        <v>-4497.8</v>
      </c>
      <c r="D30" s="152">
        <f t="shared" si="8"/>
        <v>0</v>
      </c>
      <c r="E30" s="152">
        <f t="shared" si="8"/>
        <v>0</v>
      </c>
      <c r="F30" s="152">
        <f t="shared" si="8"/>
        <v>0</v>
      </c>
      <c r="G30" s="174">
        <f t="shared" si="8"/>
        <v>0</v>
      </c>
      <c r="H30" s="152">
        <f t="shared" si="8"/>
        <v>0</v>
      </c>
      <c r="I30" s="152">
        <f t="shared" si="8"/>
        <v>0</v>
      </c>
      <c r="J30" s="152">
        <f t="shared" si="8"/>
        <v>-13054</v>
      </c>
      <c r="K30" s="174">
        <f t="shared" si="8"/>
        <v>-58105.599999999999</v>
      </c>
      <c r="L30" s="10">
        <f t="shared" si="8"/>
        <v>0</v>
      </c>
      <c r="M30" s="10">
        <f t="shared" si="8"/>
        <v>0</v>
      </c>
      <c r="N30" s="135">
        <f t="shared" si="8"/>
        <v>0</v>
      </c>
    </row>
    <row r="31" spans="1:17" x14ac:dyDescent="0.2">
      <c r="A31" s="178"/>
      <c r="B31" s="143" t="s">
        <v>19</v>
      </c>
      <c r="C31" s="156">
        <f t="shared" ref="C31:N31" si="9">C29+C30</f>
        <v>62511.14</v>
      </c>
      <c r="D31" s="156">
        <f t="shared" si="9"/>
        <v>48870.54</v>
      </c>
      <c r="E31" s="156">
        <f t="shared" si="9"/>
        <v>41498.67</v>
      </c>
      <c r="F31" s="164">
        <f t="shared" si="9"/>
        <v>10692.23</v>
      </c>
      <c r="G31" s="169">
        <f t="shared" si="9"/>
        <v>57791.77</v>
      </c>
      <c r="H31" s="26">
        <f t="shared" si="9"/>
        <v>30645.360000000001</v>
      </c>
      <c r="I31" s="26">
        <f t="shared" si="9"/>
        <v>30702.050000000003</v>
      </c>
      <c r="J31" s="26">
        <f t="shared" si="9"/>
        <v>98540.23000000001</v>
      </c>
      <c r="K31" s="26">
        <f t="shared" si="9"/>
        <v>92910.209999999992</v>
      </c>
      <c r="L31" s="26">
        <f t="shared" si="9"/>
        <v>81003.19</v>
      </c>
      <c r="M31" s="26">
        <f t="shared" si="9"/>
        <v>31628.729999999996</v>
      </c>
      <c r="N31" s="144">
        <f t="shared" si="9"/>
        <v>0</v>
      </c>
    </row>
    <row r="32" spans="1:17" ht="22.5" x14ac:dyDescent="0.2">
      <c r="A32" s="178"/>
      <c r="B32" s="134" t="s">
        <v>20</v>
      </c>
      <c r="C32" s="152">
        <f t="shared" ref="C32:N32" si="10">SUM(C33:C34)</f>
        <v>-31409.66</v>
      </c>
      <c r="D32" s="152">
        <f t="shared" si="10"/>
        <v>-24355.39</v>
      </c>
      <c r="E32" s="152">
        <f t="shared" si="10"/>
        <v>-22453.350000000002</v>
      </c>
      <c r="F32" s="152">
        <f t="shared" si="10"/>
        <v>-18856.310000000001</v>
      </c>
      <c r="G32" s="174">
        <f t="shared" si="10"/>
        <v>-24214.16</v>
      </c>
      <c r="H32" s="152">
        <f t="shared" si="10"/>
        <v>-20640.599999999999</v>
      </c>
      <c r="I32" s="152">
        <f t="shared" si="10"/>
        <v>-23274.21</v>
      </c>
      <c r="J32" s="152">
        <f t="shared" si="10"/>
        <v>-25103.64</v>
      </c>
      <c r="K32" s="174">
        <f t="shared" si="10"/>
        <v>-19294.940000000002</v>
      </c>
      <c r="L32" s="10">
        <f t="shared" si="10"/>
        <v>-22360.940000000002</v>
      </c>
      <c r="M32" s="10">
        <f t="shared" si="10"/>
        <v>-19170.59</v>
      </c>
      <c r="N32" s="135">
        <f t="shared" si="10"/>
        <v>0</v>
      </c>
    </row>
    <row r="33" spans="1:14" ht="22.5" x14ac:dyDescent="0.2">
      <c r="A33" s="178"/>
      <c r="B33" s="134" t="s">
        <v>21</v>
      </c>
      <c r="C33" s="152">
        <f>C15</f>
        <v>0</v>
      </c>
      <c r="D33" s="152">
        <f t="shared" ref="D33:N34" si="11">D15</f>
        <v>0</v>
      </c>
      <c r="E33" s="152">
        <v>0</v>
      </c>
      <c r="F33" s="159">
        <f t="shared" si="11"/>
        <v>0</v>
      </c>
      <c r="G33" s="159">
        <f t="shared" si="11"/>
        <v>0</v>
      </c>
      <c r="H33" s="10">
        <f t="shared" si="11"/>
        <v>0</v>
      </c>
      <c r="I33" s="10">
        <f t="shared" si="11"/>
        <v>0</v>
      </c>
      <c r="J33" s="10">
        <f t="shared" si="11"/>
        <v>0</v>
      </c>
      <c r="K33" s="10">
        <f t="shared" si="11"/>
        <v>0</v>
      </c>
      <c r="L33" s="10">
        <f t="shared" si="11"/>
        <v>0</v>
      </c>
      <c r="M33" s="10">
        <f t="shared" si="11"/>
        <v>0</v>
      </c>
      <c r="N33" s="135">
        <f t="shared" si="11"/>
        <v>0</v>
      </c>
    </row>
    <row r="34" spans="1:14" ht="22.5" x14ac:dyDescent="0.2">
      <c r="A34" s="178"/>
      <c r="B34" s="134" t="s">
        <v>22</v>
      </c>
      <c r="C34" s="152">
        <f>SUM(C16)</f>
        <v>-31409.66</v>
      </c>
      <c r="D34" s="152">
        <f t="shared" si="11"/>
        <v>-24355.39</v>
      </c>
      <c r="E34" s="152">
        <f t="shared" si="11"/>
        <v>-22453.350000000002</v>
      </c>
      <c r="F34" s="152">
        <f t="shared" si="11"/>
        <v>-18856.310000000001</v>
      </c>
      <c r="G34" s="174">
        <f t="shared" si="11"/>
        <v>-24214.16</v>
      </c>
      <c r="H34" s="152">
        <f t="shared" si="11"/>
        <v>-20640.599999999999</v>
      </c>
      <c r="I34" s="152">
        <f t="shared" si="11"/>
        <v>-23274.21</v>
      </c>
      <c r="J34" s="152">
        <f t="shared" si="11"/>
        <v>-25103.64</v>
      </c>
      <c r="K34" s="175">
        <f t="shared" si="11"/>
        <v>-19294.940000000002</v>
      </c>
      <c r="L34" s="174">
        <f t="shared" si="11"/>
        <v>-22360.940000000002</v>
      </c>
      <c r="M34" s="10">
        <f t="shared" si="11"/>
        <v>-19170.59</v>
      </c>
      <c r="N34" s="135">
        <f t="shared" si="11"/>
        <v>0</v>
      </c>
    </row>
    <row r="35" spans="1:14" x14ac:dyDescent="0.2">
      <c r="A35" s="178"/>
      <c r="B35" s="145" t="s">
        <v>34</v>
      </c>
      <c r="C35" s="157">
        <f t="shared" ref="C35:N35" si="12">C31+C32</f>
        <v>31101.48</v>
      </c>
      <c r="D35" s="165">
        <f t="shared" si="12"/>
        <v>24515.15</v>
      </c>
      <c r="E35" s="165">
        <f t="shared" si="12"/>
        <v>19045.319999999996</v>
      </c>
      <c r="F35" s="165">
        <f t="shared" si="12"/>
        <v>-8164.0800000000017</v>
      </c>
      <c r="G35" s="165">
        <f t="shared" si="12"/>
        <v>33577.61</v>
      </c>
      <c r="H35" s="29">
        <f t="shared" si="12"/>
        <v>10004.760000000002</v>
      </c>
      <c r="I35" s="29">
        <f t="shared" si="12"/>
        <v>7427.8400000000038</v>
      </c>
      <c r="J35" s="29">
        <f t="shared" si="12"/>
        <v>73436.590000000011</v>
      </c>
      <c r="K35" s="29">
        <f t="shared" si="12"/>
        <v>73615.26999999999</v>
      </c>
      <c r="L35" s="29">
        <f t="shared" si="12"/>
        <v>58642.25</v>
      </c>
      <c r="M35" s="29">
        <f t="shared" si="12"/>
        <v>12458.139999999996</v>
      </c>
      <c r="N35" s="146">
        <f t="shared" si="12"/>
        <v>0</v>
      </c>
    </row>
    <row r="36" spans="1:14" x14ac:dyDescent="0.2">
      <c r="A36" s="178"/>
      <c r="B36" s="134" t="s">
        <v>35</v>
      </c>
      <c r="C36" s="152">
        <v>3947.87</v>
      </c>
      <c r="D36" s="152">
        <v>3947.87</v>
      </c>
      <c r="E36" s="159">
        <v>3986.66</v>
      </c>
      <c r="F36" s="159">
        <v>3986.66</v>
      </c>
      <c r="G36" s="159">
        <v>3986.66</v>
      </c>
      <c r="H36" s="159">
        <v>3986.66</v>
      </c>
      <c r="I36" s="10">
        <v>3986.66</v>
      </c>
      <c r="J36" s="10">
        <v>3986.66</v>
      </c>
      <c r="K36" s="10">
        <v>3986.66</v>
      </c>
      <c r="L36" s="10">
        <v>3986.66</v>
      </c>
      <c r="M36" s="10">
        <v>3986.66</v>
      </c>
      <c r="N36" s="135">
        <v>0</v>
      </c>
    </row>
    <row r="37" spans="1:14" x14ac:dyDescent="0.2">
      <c r="A37" s="178"/>
      <c r="B37" s="145" t="s">
        <v>36</v>
      </c>
      <c r="C37" s="157">
        <f t="shared" ref="C37:N37" si="13">C35+C36</f>
        <v>35049.35</v>
      </c>
      <c r="D37" s="165">
        <f t="shared" si="13"/>
        <v>28463.02</v>
      </c>
      <c r="E37" s="126">
        <f t="shared" si="13"/>
        <v>23031.979999999996</v>
      </c>
      <c r="F37" s="126">
        <f t="shared" si="13"/>
        <v>-4177.4200000000019</v>
      </c>
      <c r="G37" s="165">
        <f t="shared" si="13"/>
        <v>37564.270000000004</v>
      </c>
      <c r="H37" s="29">
        <f t="shared" si="13"/>
        <v>13991.420000000002</v>
      </c>
      <c r="I37" s="29">
        <f t="shared" si="13"/>
        <v>11414.500000000004</v>
      </c>
      <c r="J37" s="29">
        <f t="shared" si="13"/>
        <v>77423.250000000015</v>
      </c>
      <c r="K37" s="29">
        <f t="shared" si="13"/>
        <v>77601.929999999993</v>
      </c>
      <c r="L37" s="29">
        <f t="shared" si="13"/>
        <v>62628.91</v>
      </c>
      <c r="M37" s="29">
        <f t="shared" si="13"/>
        <v>16444.799999999996</v>
      </c>
      <c r="N37" s="146">
        <f t="shared" si="13"/>
        <v>0</v>
      </c>
    </row>
    <row r="38" spans="1:14" x14ac:dyDescent="0.2">
      <c r="A38" s="178"/>
      <c r="B38" s="147" t="s">
        <v>37</v>
      </c>
      <c r="C38" s="32" t="s">
        <v>38</v>
      </c>
      <c r="D38" s="176">
        <f>D37/C37-1</f>
        <v>-0.18791589572987799</v>
      </c>
      <c r="E38" s="33">
        <f t="shared" ref="E38:N38" si="14">E37/D37-1</f>
        <v>-0.19081039186987203</v>
      </c>
      <c r="F38" s="33">
        <f t="shared" si="14"/>
        <v>-1.1813747667373802</v>
      </c>
      <c r="G38" s="176">
        <f t="shared" si="14"/>
        <v>-9.9922176845995825</v>
      </c>
      <c r="H38" s="33">
        <f t="shared" si="14"/>
        <v>-0.62753382403012226</v>
      </c>
      <c r="I38" s="33">
        <f t="shared" si="14"/>
        <v>-0.1841785894498198</v>
      </c>
      <c r="J38" s="33">
        <f t="shared" si="14"/>
        <v>5.7828858031451214</v>
      </c>
      <c r="K38" s="33">
        <f>K37/J37-1</f>
        <v>2.3078338871072024E-3</v>
      </c>
      <c r="L38" s="33">
        <f>L37/K37-1</f>
        <v>-0.19294648986178553</v>
      </c>
      <c r="M38" s="33">
        <f t="shared" si="14"/>
        <v>-0.73742477715163823</v>
      </c>
      <c r="N38" s="83">
        <f t="shared" si="14"/>
        <v>-1</v>
      </c>
    </row>
    <row r="39" spans="1:14" x14ac:dyDescent="0.2">
      <c r="A39" s="178"/>
      <c r="B39" s="147" t="s">
        <v>39</v>
      </c>
      <c r="C39" s="32"/>
      <c r="D39" s="35">
        <f>1*(D38/100+1)</f>
        <v>0.99812084104270127</v>
      </c>
      <c r="E39" s="35">
        <f t="shared" ref="E39:N39" si="15">D39*(E38/100+1)</f>
        <v>0.99621632275457284</v>
      </c>
      <c r="F39" s="35">
        <f t="shared" si="15"/>
        <v>0.98444727449543135</v>
      </c>
      <c r="G39" s="171">
        <f t="shared" si="15"/>
        <v>0.88607915983774033</v>
      </c>
      <c r="H39" s="35">
        <f t="shared" si="15"/>
        <v>0.88051871340207655</v>
      </c>
      <c r="I39" s="35">
        <f t="shared" si="15"/>
        <v>0.87889698645589087</v>
      </c>
      <c r="J39" s="35">
        <f t="shared" si="15"/>
        <v>0.92972259550991887</v>
      </c>
      <c r="K39" s="35">
        <f t="shared" si="15"/>
        <v>0.92974405196303411</v>
      </c>
      <c r="L39" s="35">
        <f t="shared" si="15"/>
        <v>0.92795014345007265</v>
      </c>
      <c r="M39" s="35">
        <f t="shared" si="15"/>
        <v>0.92110720917265765</v>
      </c>
      <c r="N39" s="84">
        <f t="shared" si="15"/>
        <v>0.91189613708093109</v>
      </c>
    </row>
    <row r="40" spans="1:14" ht="13.5" thickBot="1" x14ac:dyDescent="0.25">
      <c r="A40" s="178"/>
      <c r="B40" s="148" t="s">
        <v>39</v>
      </c>
      <c r="C40" s="149" t="s">
        <v>38</v>
      </c>
      <c r="D40" s="150">
        <f t="shared" ref="D40:N40" si="16">D39-1</f>
        <v>-1.8791589572987322E-3</v>
      </c>
      <c r="E40" s="150">
        <f t="shared" si="16"/>
        <v>-3.7836772454271639E-3</v>
      </c>
      <c r="F40" s="150">
        <f t="shared" si="16"/>
        <v>-1.5552725504568654E-2</v>
      </c>
      <c r="G40" s="172">
        <f t="shared" si="16"/>
        <v>-0.11392084016225967</v>
      </c>
      <c r="H40" s="150">
        <f t="shared" si="16"/>
        <v>-0.11948128659792345</v>
      </c>
      <c r="I40" s="150">
        <f t="shared" si="16"/>
        <v>-0.12110301354410913</v>
      </c>
      <c r="J40" s="150">
        <f t="shared" si="16"/>
        <v>-7.027740449008113E-2</v>
      </c>
      <c r="K40" s="150">
        <f t="shared" si="16"/>
        <v>-7.0255948036965887E-2</v>
      </c>
      <c r="L40" s="150">
        <f t="shared" si="16"/>
        <v>-7.2049856549927349E-2</v>
      </c>
      <c r="M40" s="150">
        <f t="shared" si="16"/>
        <v>-7.8892790827342352E-2</v>
      </c>
      <c r="N40" s="85">
        <f t="shared" si="16"/>
        <v>-8.8103862919068909E-2</v>
      </c>
    </row>
    <row r="45" spans="1:14" x14ac:dyDescent="0.2">
      <c r="G45" s="166">
        <f>D37/C37-1</f>
        <v>-0.18791589572987799</v>
      </c>
    </row>
    <row r="47" spans="1:14" x14ac:dyDescent="0.2">
      <c r="I47" s="173"/>
    </row>
    <row r="50" spans="4:8" x14ac:dyDescent="0.2">
      <c r="D50" s="183"/>
    </row>
    <row r="57" spans="4:8" x14ac:dyDescent="0.2">
      <c r="H57" s="2">
        <v>47617.04</v>
      </c>
    </row>
    <row r="58" spans="4:8" x14ac:dyDescent="0.2">
      <c r="H58" s="2">
        <v>11526.98</v>
      </c>
    </row>
    <row r="59" spans="4:8" x14ac:dyDescent="0.2">
      <c r="H59" s="2">
        <v>61193.919999999998</v>
      </c>
    </row>
    <row r="60" spans="4:8" x14ac:dyDescent="0.2">
      <c r="H60" s="2">
        <v>2205.54</v>
      </c>
    </row>
    <row r="61" spans="4:8" x14ac:dyDescent="0.2">
      <c r="H61" s="2">
        <v>25700.639999999999</v>
      </c>
    </row>
    <row r="62" spans="4:8" x14ac:dyDescent="0.2">
      <c r="H62" s="2">
        <v>6354.88</v>
      </c>
    </row>
  </sheetData>
  <mergeCells count="2">
    <mergeCell ref="B5:N5"/>
    <mergeCell ref="C6:N6"/>
  </mergeCells>
  <pageMargins left="0.28999999999999998" right="0.23622047244094491" top="0.86614173228346458" bottom="0.98425196850393704" header="0.98425196850393704" footer="0.51181102362204722"/>
  <pageSetup paperSize="9" scale="62" orientation="landscape" r:id="rId1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34"/>
  <sheetViews>
    <sheetView zoomScaleNormal="100" workbookViewId="0">
      <selection activeCell="A6" sqref="A6"/>
    </sheetView>
  </sheetViews>
  <sheetFormatPr defaultColWidth="11.5703125" defaultRowHeight="12.75" x14ac:dyDescent="0.2"/>
  <cols>
    <col min="1" max="1" width="58.42578125" style="41" customWidth="1"/>
    <col min="2" max="2" width="22.28515625" style="41" customWidth="1"/>
    <col min="3" max="3" width="17.5703125" style="2" customWidth="1"/>
    <col min="4" max="16384" width="11.5703125" style="2"/>
  </cols>
  <sheetData>
    <row r="1" spans="1:13" ht="13.5" thickBot="1" x14ac:dyDescent="0.25">
      <c r="A1" s="51" t="s">
        <v>0</v>
      </c>
      <c r="B1" s="187" t="s">
        <v>1</v>
      </c>
      <c r="C1" s="187"/>
      <c r="D1" s="188"/>
      <c r="E1" s="188"/>
      <c r="F1" s="188"/>
      <c r="G1" s="188"/>
      <c r="H1" s="188"/>
      <c r="I1" s="188"/>
      <c r="J1" s="188"/>
      <c r="K1" s="188"/>
      <c r="L1" s="188"/>
      <c r="M1" s="188"/>
    </row>
    <row r="2" spans="1:13" x14ac:dyDescent="0.2">
      <c r="A2" s="52" t="s">
        <v>2</v>
      </c>
      <c r="B2" s="53" t="s">
        <v>3</v>
      </c>
      <c r="C2" s="75" t="s">
        <v>4</v>
      </c>
      <c r="D2" s="42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5" t="s">
        <v>14</v>
      </c>
    </row>
    <row r="3" spans="1:13" x14ac:dyDescent="0.2">
      <c r="A3" s="54" t="s">
        <v>15</v>
      </c>
      <c r="B3" s="55"/>
      <c r="C3" s="76"/>
      <c r="D3" s="43"/>
      <c r="E3" s="7"/>
      <c r="F3" s="7"/>
      <c r="G3" s="7"/>
      <c r="H3" s="7"/>
      <c r="I3" s="7"/>
      <c r="J3" s="7"/>
      <c r="K3" s="7"/>
      <c r="L3" s="7"/>
      <c r="M3" s="8"/>
    </row>
    <row r="4" spans="1:13" x14ac:dyDescent="0.2">
      <c r="A4" s="56" t="s">
        <v>16</v>
      </c>
      <c r="B4" s="57"/>
      <c r="C4" s="77"/>
      <c r="D4" s="44"/>
      <c r="E4" s="10"/>
      <c r="F4" s="10"/>
      <c r="G4" s="10"/>
      <c r="H4" s="10"/>
      <c r="I4" s="10"/>
      <c r="J4" s="10"/>
      <c r="K4" s="10"/>
      <c r="L4" s="10"/>
      <c r="M4" s="11"/>
    </row>
    <row r="5" spans="1:13" x14ac:dyDescent="0.2">
      <c r="A5" s="54" t="s">
        <v>17</v>
      </c>
      <c r="B5" s="55"/>
      <c r="C5" s="76"/>
      <c r="D5" s="43">
        <f t="shared" ref="D5:M5" si="0">D3+D4</f>
        <v>0</v>
      </c>
      <c r="E5" s="7">
        <f t="shared" si="0"/>
        <v>0</v>
      </c>
      <c r="F5" s="7">
        <f t="shared" si="0"/>
        <v>0</v>
      </c>
      <c r="G5" s="7">
        <f t="shared" si="0"/>
        <v>0</v>
      </c>
      <c r="H5" s="7">
        <f t="shared" si="0"/>
        <v>0</v>
      </c>
      <c r="I5" s="7">
        <f t="shared" si="0"/>
        <v>0</v>
      </c>
      <c r="J5" s="7">
        <f t="shared" si="0"/>
        <v>0</v>
      </c>
      <c r="K5" s="7">
        <f t="shared" si="0"/>
        <v>0</v>
      </c>
      <c r="L5" s="7">
        <f t="shared" si="0"/>
        <v>0</v>
      </c>
      <c r="M5" s="8">
        <f t="shared" si="0"/>
        <v>0</v>
      </c>
    </row>
    <row r="6" spans="1:13" x14ac:dyDescent="0.2">
      <c r="A6" s="56" t="s">
        <v>18</v>
      </c>
      <c r="B6" s="57"/>
      <c r="C6" s="77"/>
      <c r="D6" s="44"/>
      <c r="E6" s="10"/>
      <c r="F6" s="10"/>
      <c r="G6" s="10"/>
      <c r="H6" s="10"/>
      <c r="I6" s="10"/>
      <c r="J6" s="10"/>
      <c r="K6" s="10"/>
      <c r="L6" s="10"/>
      <c r="M6" s="11"/>
    </row>
    <row r="7" spans="1:13" x14ac:dyDescent="0.2">
      <c r="A7" s="54" t="s">
        <v>19</v>
      </c>
      <c r="B7" s="55"/>
      <c r="C7" s="76"/>
      <c r="D7" s="43">
        <f t="shared" ref="D7:M7" si="1">D5+D6</f>
        <v>0</v>
      </c>
      <c r="E7" s="7">
        <f t="shared" si="1"/>
        <v>0</v>
      </c>
      <c r="F7" s="7">
        <f t="shared" si="1"/>
        <v>0</v>
      </c>
      <c r="G7" s="7">
        <f t="shared" si="1"/>
        <v>0</v>
      </c>
      <c r="H7" s="7">
        <f t="shared" si="1"/>
        <v>0</v>
      </c>
      <c r="I7" s="7">
        <f t="shared" si="1"/>
        <v>0</v>
      </c>
      <c r="J7" s="7">
        <f t="shared" si="1"/>
        <v>0</v>
      </c>
      <c r="K7" s="7">
        <f t="shared" si="1"/>
        <v>0</v>
      </c>
      <c r="L7" s="7">
        <f t="shared" si="1"/>
        <v>0</v>
      </c>
      <c r="M7" s="8">
        <f t="shared" si="1"/>
        <v>0</v>
      </c>
    </row>
    <row r="8" spans="1:13" x14ac:dyDescent="0.2">
      <c r="A8" s="56" t="s">
        <v>20</v>
      </c>
      <c r="B8" s="57"/>
      <c r="C8" s="77"/>
      <c r="D8" s="44">
        <f t="shared" ref="D8:M8" si="2">SUM(D9:D12)</f>
        <v>0</v>
      </c>
      <c r="E8" s="10">
        <f t="shared" si="2"/>
        <v>0</v>
      </c>
      <c r="F8" s="10">
        <f t="shared" si="2"/>
        <v>0</v>
      </c>
      <c r="G8" s="10">
        <f t="shared" si="2"/>
        <v>0</v>
      </c>
      <c r="H8" s="10">
        <f t="shared" si="2"/>
        <v>0</v>
      </c>
      <c r="I8" s="10">
        <f t="shared" si="2"/>
        <v>0</v>
      </c>
      <c r="J8" s="10">
        <f t="shared" si="2"/>
        <v>0</v>
      </c>
      <c r="K8" s="10">
        <f t="shared" si="2"/>
        <v>0</v>
      </c>
      <c r="L8" s="10">
        <f t="shared" si="2"/>
        <v>0</v>
      </c>
      <c r="M8" s="11">
        <f t="shared" si="2"/>
        <v>0</v>
      </c>
    </row>
    <row r="9" spans="1:13" x14ac:dyDescent="0.2">
      <c r="A9" s="56" t="s">
        <v>21</v>
      </c>
      <c r="B9" s="57"/>
      <c r="C9" s="77"/>
      <c r="D9" s="44"/>
      <c r="E9" s="10"/>
      <c r="F9" s="10"/>
      <c r="G9" s="10"/>
      <c r="H9" s="10"/>
      <c r="I9" s="10"/>
      <c r="J9" s="10"/>
      <c r="K9" s="10"/>
      <c r="L9" s="10"/>
      <c r="M9" s="11"/>
    </row>
    <row r="10" spans="1:13" x14ac:dyDescent="0.2">
      <c r="A10" s="56" t="s">
        <v>22</v>
      </c>
      <c r="B10" s="57"/>
      <c r="C10" s="77"/>
      <c r="D10" s="44"/>
      <c r="E10" s="10"/>
      <c r="F10" s="10"/>
      <c r="G10" s="10"/>
      <c r="H10" s="10"/>
      <c r="I10" s="10"/>
      <c r="J10" s="10"/>
      <c r="K10" s="10"/>
      <c r="L10" s="10"/>
      <c r="M10" s="11"/>
    </row>
    <row r="11" spans="1:13" x14ac:dyDescent="0.2">
      <c r="A11" s="56" t="s">
        <v>23</v>
      </c>
      <c r="B11" s="57"/>
      <c r="C11" s="77"/>
      <c r="D11" s="44"/>
      <c r="E11" s="10"/>
      <c r="F11" s="10"/>
      <c r="G11" s="10"/>
      <c r="H11" s="10"/>
      <c r="I11" s="10"/>
      <c r="J11" s="10"/>
      <c r="K11" s="10"/>
      <c r="L11" s="10"/>
      <c r="M11" s="11"/>
    </row>
    <row r="12" spans="1:13" x14ac:dyDescent="0.2">
      <c r="A12" s="56" t="s">
        <v>24</v>
      </c>
      <c r="B12" s="58"/>
      <c r="C12" s="78"/>
      <c r="D12" s="45"/>
      <c r="E12" s="12"/>
      <c r="F12" s="12"/>
      <c r="G12" s="12"/>
      <c r="H12" s="12"/>
      <c r="I12" s="12"/>
      <c r="J12" s="12"/>
      <c r="K12" s="12"/>
      <c r="L12" s="12"/>
      <c r="M12" s="13"/>
    </row>
    <row r="13" spans="1:13" x14ac:dyDescent="0.2">
      <c r="A13" s="89" t="s">
        <v>26</v>
      </c>
      <c r="B13" s="90"/>
      <c r="C13" s="91"/>
      <c r="D13" s="46">
        <f t="shared" ref="D13:M13" si="3">D7+D8</f>
        <v>0</v>
      </c>
      <c r="E13" s="14">
        <f t="shared" si="3"/>
        <v>0</v>
      </c>
      <c r="F13" s="14">
        <f t="shared" si="3"/>
        <v>0</v>
      </c>
      <c r="G13" s="14">
        <f t="shared" si="3"/>
        <v>0</v>
      </c>
      <c r="H13" s="14">
        <f t="shared" si="3"/>
        <v>0</v>
      </c>
      <c r="I13" s="14">
        <f t="shared" si="3"/>
        <v>0</v>
      </c>
      <c r="J13" s="14">
        <f t="shared" si="3"/>
        <v>0</v>
      </c>
      <c r="K13" s="14">
        <f t="shared" si="3"/>
        <v>0</v>
      </c>
      <c r="L13" s="14">
        <f t="shared" si="3"/>
        <v>0</v>
      </c>
      <c r="M13" s="15">
        <f t="shared" si="3"/>
        <v>0</v>
      </c>
    </row>
    <row r="14" spans="1:13" x14ac:dyDescent="0.2">
      <c r="A14" s="56" t="s">
        <v>27</v>
      </c>
      <c r="B14" s="57"/>
      <c r="C14" s="77"/>
      <c r="D14" s="44"/>
      <c r="E14" s="10"/>
      <c r="F14" s="10"/>
      <c r="G14" s="10"/>
      <c r="H14" s="10"/>
      <c r="I14" s="10"/>
      <c r="J14" s="10"/>
      <c r="K14" s="10"/>
      <c r="L14" s="10"/>
      <c r="M14" s="11"/>
    </row>
    <row r="15" spans="1:13" x14ac:dyDescent="0.2">
      <c r="A15" s="54" t="s">
        <v>28</v>
      </c>
      <c r="B15" s="55"/>
      <c r="C15" s="76"/>
      <c r="D15" s="43">
        <f t="shared" ref="D15:M15" si="4">D13+D14</f>
        <v>0</v>
      </c>
      <c r="E15" s="7">
        <f t="shared" si="4"/>
        <v>0</v>
      </c>
      <c r="F15" s="7">
        <f t="shared" si="4"/>
        <v>0</v>
      </c>
      <c r="G15" s="7">
        <f t="shared" si="4"/>
        <v>0</v>
      </c>
      <c r="H15" s="7">
        <f t="shared" si="4"/>
        <v>0</v>
      </c>
      <c r="I15" s="7">
        <f t="shared" si="4"/>
        <v>0</v>
      </c>
      <c r="J15" s="7">
        <f t="shared" si="4"/>
        <v>0</v>
      </c>
      <c r="K15" s="7">
        <f t="shared" si="4"/>
        <v>0</v>
      </c>
      <c r="L15" s="7">
        <f t="shared" si="4"/>
        <v>0</v>
      </c>
      <c r="M15" s="8">
        <f t="shared" si="4"/>
        <v>0</v>
      </c>
    </row>
    <row r="16" spans="1:13" x14ac:dyDescent="0.2">
      <c r="A16" s="56" t="s">
        <v>29</v>
      </c>
      <c r="B16" s="57"/>
      <c r="C16" s="77"/>
      <c r="D16" s="44"/>
      <c r="E16" s="10"/>
      <c r="F16" s="10"/>
      <c r="G16" s="10"/>
      <c r="H16" s="10"/>
      <c r="I16" s="10"/>
      <c r="J16" s="10"/>
      <c r="K16" s="10"/>
      <c r="L16" s="10"/>
      <c r="M16" s="11"/>
    </row>
    <row r="17" spans="1:13" x14ac:dyDescent="0.2">
      <c r="A17" s="54" t="s">
        <v>30</v>
      </c>
      <c r="B17" s="55"/>
      <c r="C17" s="76"/>
      <c r="D17" s="43">
        <f t="shared" ref="D17:M17" si="5">D15+D16</f>
        <v>0</v>
      </c>
      <c r="E17" s="7">
        <f t="shared" si="5"/>
        <v>0</v>
      </c>
      <c r="F17" s="7">
        <f t="shared" si="5"/>
        <v>0</v>
      </c>
      <c r="G17" s="7">
        <f t="shared" si="5"/>
        <v>0</v>
      </c>
      <c r="H17" s="7">
        <f t="shared" si="5"/>
        <v>0</v>
      </c>
      <c r="I17" s="7">
        <f t="shared" si="5"/>
        <v>0</v>
      </c>
      <c r="J17" s="7">
        <f t="shared" si="5"/>
        <v>0</v>
      </c>
      <c r="K17" s="7">
        <f t="shared" si="5"/>
        <v>0</v>
      </c>
      <c r="L17" s="7">
        <f t="shared" si="5"/>
        <v>0</v>
      </c>
      <c r="M17" s="8">
        <f t="shared" si="5"/>
        <v>0</v>
      </c>
    </row>
    <row r="18" spans="1:13" x14ac:dyDescent="0.2">
      <c r="A18" s="61"/>
      <c r="B18" s="62"/>
      <c r="C18" s="79"/>
      <c r="D18" s="17"/>
      <c r="E18" s="17"/>
      <c r="F18" s="17"/>
      <c r="G18" s="17"/>
      <c r="H18" s="17"/>
      <c r="I18" s="17"/>
      <c r="J18" s="17"/>
      <c r="K18" s="17"/>
      <c r="L18" s="17"/>
      <c r="M18" s="18"/>
    </row>
    <row r="19" spans="1:13" x14ac:dyDescent="0.2">
      <c r="A19" s="86" t="s">
        <v>31</v>
      </c>
      <c r="B19" s="87"/>
      <c r="C19" s="88" t="s">
        <v>32</v>
      </c>
      <c r="D19" s="47" t="s">
        <v>32</v>
      </c>
      <c r="E19" s="20" t="s">
        <v>32</v>
      </c>
      <c r="F19" s="20" t="s">
        <v>32</v>
      </c>
      <c r="G19" s="20" t="s">
        <v>32</v>
      </c>
      <c r="H19" s="20" t="s">
        <v>32</v>
      </c>
      <c r="I19" s="20" t="s">
        <v>32</v>
      </c>
      <c r="J19" s="20" t="s">
        <v>32</v>
      </c>
      <c r="K19" s="20" t="s">
        <v>32</v>
      </c>
      <c r="L19" s="20" t="s">
        <v>32</v>
      </c>
      <c r="M19" s="21" t="s">
        <v>32</v>
      </c>
    </row>
    <row r="20" spans="1:13" x14ac:dyDescent="0.2">
      <c r="A20" s="65" t="str">
        <f>A2</f>
        <v>Empresa:</v>
      </c>
      <c r="B20" s="66"/>
      <c r="C20" s="80"/>
      <c r="D20" s="48"/>
      <c r="E20" s="23"/>
      <c r="F20" s="23"/>
      <c r="G20" s="23"/>
      <c r="H20" s="23"/>
      <c r="I20" s="23"/>
      <c r="J20" s="23"/>
      <c r="K20" s="23"/>
      <c r="L20" s="23"/>
      <c r="M20" s="24"/>
    </row>
    <row r="21" spans="1:13" x14ac:dyDescent="0.2">
      <c r="A21" s="67" t="s">
        <v>15</v>
      </c>
      <c r="B21" s="68"/>
      <c r="C21" s="81"/>
      <c r="D21" s="49">
        <f t="shared" ref="D21:M22" si="6">D3</f>
        <v>0</v>
      </c>
      <c r="E21" s="26">
        <f t="shared" si="6"/>
        <v>0</v>
      </c>
      <c r="F21" s="26">
        <f t="shared" si="6"/>
        <v>0</v>
      </c>
      <c r="G21" s="26">
        <f t="shared" si="6"/>
        <v>0</v>
      </c>
      <c r="H21" s="26">
        <f t="shared" si="6"/>
        <v>0</v>
      </c>
      <c r="I21" s="26">
        <f t="shared" si="6"/>
        <v>0</v>
      </c>
      <c r="J21" s="26">
        <f t="shared" si="6"/>
        <v>0</v>
      </c>
      <c r="K21" s="26">
        <f t="shared" si="6"/>
        <v>0</v>
      </c>
      <c r="L21" s="26">
        <f t="shared" si="6"/>
        <v>0</v>
      </c>
      <c r="M21" s="27">
        <f t="shared" si="6"/>
        <v>0</v>
      </c>
    </row>
    <row r="22" spans="1:13" x14ac:dyDescent="0.2">
      <c r="A22" s="56" t="s">
        <v>16</v>
      </c>
      <c r="B22" s="57"/>
      <c r="C22" s="77"/>
      <c r="D22" s="44">
        <f t="shared" si="6"/>
        <v>0</v>
      </c>
      <c r="E22" s="10">
        <f t="shared" si="6"/>
        <v>0</v>
      </c>
      <c r="F22" s="10">
        <f t="shared" si="6"/>
        <v>0</v>
      </c>
      <c r="G22" s="10">
        <f t="shared" si="6"/>
        <v>0</v>
      </c>
      <c r="H22" s="10">
        <f t="shared" si="6"/>
        <v>0</v>
      </c>
      <c r="I22" s="10">
        <f t="shared" si="6"/>
        <v>0</v>
      </c>
      <c r="J22" s="10">
        <f t="shared" si="6"/>
        <v>0</v>
      </c>
      <c r="K22" s="10">
        <f t="shared" si="6"/>
        <v>0</v>
      </c>
      <c r="L22" s="10">
        <f t="shared" si="6"/>
        <v>0</v>
      </c>
      <c r="M22" s="11">
        <f t="shared" si="6"/>
        <v>0</v>
      </c>
    </row>
    <row r="23" spans="1:13" x14ac:dyDescent="0.2">
      <c r="A23" s="67" t="s">
        <v>17</v>
      </c>
      <c r="B23" s="68"/>
      <c r="C23" s="81"/>
      <c r="D23" s="49">
        <f t="shared" ref="D23:M23" si="7">D21+D22</f>
        <v>0</v>
      </c>
      <c r="E23" s="26">
        <f t="shared" si="7"/>
        <v>0</v>
      </c>
      <c r="F23" s="26">
        <f t="shared" si="7"/>
        <v>0</v>
      </c>
      <c r="G23" s="26">
        <f t="shared" si="7"/>
        <v>0</v>
      </c>
      <c r="H23" s="26">
        <f t="shared" si="7"/>
        <v>0</v>
      </c>
      <c r="I23" s="26">
        <f t="shared" si="7"/>
        <v>0</v>
      </c>
      <c r="J23" s="26">
        <f t="shared" si="7"/>
        <v>0</v>
      </c>
      <c r="K23" s="26">
        <f t="shared" si="7"/>
        <v>0</v>
      </c>
      <c r="L23" s="26">
        <f t="shared" si="7"/>
        <v>0</v>
      </c>
      <c r="M23" s="27">
        <f t="shared" si="7"/>
        <v>0</v>
      </c>
    </row>
    <row r="24" spans="1:13" x14ac:dyDescent="0.2">
      <c r="A24" s="56" t="s">
        <v>33</v>
      </c>
      <c r="B24" s="57"/>
      <c r="C24" s="77"/>
      <c r="D24" s="44">
        <f t="shared" ref="D24:M24" si="8">D6</f>
        <v>0</v>
      </c>
      <c r="E24" s="10">
        <f t="shared" si="8"/>
        <v>0</v>
      </c>
      <c r="F24" s="10">
        <f t="shared" si="8"/>
        <v>0</v>
      </c>
      <c r="G24" s="10">
        <f t="shared" si="8"/>
        <v>0</v>
      </c>
      <c r="H24" s="10">
        <f t="shared" si="8"/>
        <v>0</v>
      </c>
      <c r="I24" s="10">
        <f t="shared" si="8"/>
        <v>0</v>
      </c>
      <c r="J24" s="10">
        <f t="shared" si="8"/>
        <v>0</v>
      </c>
      <c r="K24" s="10">
        <f t="shared" si="8"/>
        <v>0</v>
      </c>
      <c r="L24" s="10">
        <f t="shared" si="8"/>
        <v>0</v>
      </c>
      <c r="M24" s="11">
        <f t="shared" si="8"/>
        <v>0</v>
      </c>
    </row>
    <row r="25" spans="1:13" x14ac:dyDescent="0.2">
      <c r="A25" s="67" t="s">
        <v>19</v>
      </c>
      <c r="B25" s="68"/>
      <c r="C25" s="81"/>
      <c r="D25" s="49">
        <f t="shared" ref="D25:M25" si="9">D23+D24</f>
        <v>0</v>
      </c>
      <c r="E25" s="26">
        <f t="shared" si="9"/>
        <v>0</v>
      </c>
      <c r="F25" s="26">
        <f t="shared" si="9"/>
        <v>0</v>
      </c>
      <c r="G25" s="26">
        <f t="shared" si="9"/>
        <v>0</v>
      </c>
      <c r="H25" s="26">
        <f t="shared" si="9"/>
        <v>0</v>
      </c>
      <c r="I25" s="26">
        <f t="shared" si="9"/>
        <v>0</v>
      </c>
      <c r="J25" s="26">
        <f t="shared" si="9"/>
        <v>0</v>
      </c>
      <c r="K25" s="26">
        <f t="shared" si="9"/>
        <v>0</v>
      </c>
      <c r="L25" s="26">
        <f t="shared" si="9"/>
        <v>0</v>
      </c>
      <c r="M25" s="27">
        <f t="shared" si="9"/>
        <v>0</v>
      </c>
    </row>
    <row r="26" spans="1:13" x14ac:dyDescent="0.2">
      <c r="A26" s="56" t="s">
        <v>20</v>
      </c>
      <c r="B26" s="57"/>
      <c r="C26" s="77"/>
      <c r="D26" s="44">
        <f t="shared" ref="D26:M26" si="10">SUM(D27:D28)</f>
        <v>0</v>
      </c>
      <c r="E26" s="10">
        <f t="shared" si="10"/>
        <v>0</v>
      </c>
      <c r="F26" s="10">
        <f t="shared" si="10"/>
        <v>0</v>
      </c>
      <c r="G26" s="10">
        <f t="shared" si="10"/>
        <v>0</v>
      </c>
      <c r="H26" s="10">
        <f t="shared" si="10"/>
        <v>0</v>
      </c>
      <c r="I26" s="10">
        <f t="shared" si="10"/>
        <v>0</v>
      </c>
      <c r="J26" s="10">
        <f t="shared" si="10"/>
        <v>0</v>
      </c>
      <c r="K26" s="10">
        <f t="shared" si="10"/>
        <v>0</v>
      </c>
      <c r="L26" s="10">
        <f t="shared" si="10"/>
        <v>0</v>
      </c>
      <c r="M26" s="11">
        <f t="shared" si="10"/>
        <v>0</v>
      </c>
    </row>
    <row r="27" spans="1:13" x14ac:dyDescent="0.2">
      <c r="A27" s="56" t="s">
        <v>21</v>
      </c>
      <c r="B27" s="57"/>
      <c r="C27" s="77"/>
      <c r="D27" s="44">
        <f t="shared" ref="D27:M28" si="11">D9</f>
        <v>0</v>
      </c>
      <c r="E27" s="10">
        <f t="shared" si="11"/>
        <v>0</v>
      </c>
      <c r="F27" s="10">
        <f t="shared" si="11"/>
        <v>0</v>
      </c>
      <c r="G27" s="10">
        <f t="shared" si="11"/>
        <v>0</v>
      </c>
      <c r="H27" s="10">
        <f t="shared" si="11"/>
        <v>0</v>
      </c>
      <c r="I27" s="10">
        <f t="shared" si="11"/>
        <v>0</v>
      </c>
      <c r="J27" s="10">
        <f t="shared" si="11"/>
        <v>0</v>
      </c>
      <c r="K27" s="10">
        <f t="shared" si="11"/>
        <v>0</v>
      </c>
      <c r="L27" s="10">
        <f t="shared" si="11"/>
        <v>0</v>
      </c>
      <c r="M27" s="11">
        <f t="shared" si="11"/>
        <v>0</v>
      </c>
    </row>
    <row r="28" spans="1:13" x14ac:dyDescent="0.2">
      <c r="A28" s="56" t="s">
        <v>22</v>
      </c>
      <c r="B28" s="57"/>
      <c r="C28" s="77"/>
      <c r="D28" s="44">
        <f t="shared" si="11"/>
        <v>0</v>
      </c>
      <c r="E28" s="10">
        <f t="shared" si="11"/>
        <v>0</v>
      </c>
      <c r="F28" s="10">
        <f t="shared" si="11"/>
        <v>0</v>
      </c>
      <c r="G28" s="10">
        <f t="shared" si="11"/>
        <v>0</v>
      </c>
      <c r="H28" s="10">
        <f t="shared" si="11"/>
        <v>0</v>
      </c>
      <c r="I28" s="10">
        <f t="shared" si="11"/>
        <v>0</v>
      </c>
      <c r="J28" s="10">
        <f t="shared" si="11"/>
        <v>0</v>
      </c>
      <c r="K28" s="10">
        <f t="shared" si="11"/>
        <v>0</v>
      </c>
      <c r="L28" s="10">
        <f t="shared" si="11"/>
        <v>0</v>
      </c>
      <c r="M28" s="11">
        <f t="shared" si="11"/>
        <v>0</v>
      </c>
    </row>
    <row r="29" spans="1:13" x14ac:dyDescent="0.2">
      <c r="A29" s="69" t="s">
        <v>34</v>
      </c>
      <c r="B29" s="70"/>
      <c r="C29" s="82"/>
      <c r="D29" s="50">
        <f t="shared" ref="D29:M29" si="12">D25+D26</f>
        <v>0</v>
      </c>
      <c r="E29" s="29">
        <f t="shared" si="12"/>
        <v>0</v>
      </c>
      <c r="F29" s="29">
        <f t="shared" si="12"/>
        <v>0</v>
      </c>
      <c r="G29" s="29">
        <f t="shared" si="12"/>
        <v>0</v>
      </c>
      <c r="H29" s="29">
        <f t="shared" si="12"/>
        <v>0</v>
      </c>
      <c r="I29" s="29">
        <f t="shared" si="12"/>
        <v>0</v>
      </c>
      <c r="J29" s="29">
        <f t="shared" si="12"/>
        <v>0</v>
      </c>
      <c r="K29" s="29">
        <f t="shared" si="12"/>
        <v>0</v>
      </c>
      <c r="L29" s="29">
        <f t="shared" si="12"/>
        <v>0</v>
      </c>
      <c r="M29" s="30">
        <f t="shared" si="12"/>
        <v>0</v>
      </c>
    </row>
    <row r="30" spans="1:13" x14ac:dyDescent="0.2">
      <c r="A30" s="56" t="s">
        <v>35</v>
      </c>
      <c r="B30" s="57"/>
      <c r="C30" s="77"/>
      <c r="D30" s="44"/>
      <c r="E30" s="10"/>
      <c r="F30" s="10"/>
      <c r="G30" s="10"/>
      <c r="H30" s="10"/>
      <c r="I30" s="10"/>
      <c r="J30" s="10"/>
      <c r="K30" s="10"/>
      <c r="L30" s="10"/>
      <c r="M30" s="11"/>
    </row>
    <row r="31" spans="1:13" x14ac:dyDescent="0.2">
      <c r="A31" s="69" t="s">
        <v>36</v>
      </c>
      <c r="B31" s="70"/>
      <c r="C31" s="82"/>
      <c r="D31" s="50">
        <f t="shared" ref="D31:M31" si="13">D29+D30</f>
        <v>0</v>
      </c>
      <c r="E31" s="29">
        <f t="shared" si="13"/>
        <v>0</v>
      </c>
      <c r="F31" s="29">
        <f t="shared" si="13"/>
        <v>0</v>
      </c>
      <c r="G31" s="29">
        <f t="shared" si="13"/>
        <v>0</v>
      </c>
      <c r="H31" s="29">
        <f t="shared" si="13"/>
        <v>0</v>
      </c>
      <c r="I31" s="29">
        <f t="shared" si="13"/>
        <v>0</v>
      </c>
      <c r="J31" s="29">
        <f t="shared" si="13"/>
        <v>0</v>
      </c>
      <c r="K31" s="29">
        <f t="shared" si="13"/>
        <v>0</v>
      </c>
      <c r="L31" s="29">
        <f t="shared" si="13"/>
        <v>0</v>
      </c>
      <c r="M31" s="30">
        <f t="shared" si="13"/>
        <v>0</v>
      </c>
    </row>
    <row r="32" spans="1:13" x14ac:dyDescent="0.2">
      <c r="A32" s="71" t="s">
        <v>37</v>
      </c>
      <c r="B32" s="72" t="s">
        <v>38</v>
      </c>
      <c r="C32" s="83"/>
      <c r="D32" s="33" t="e">
        <f t="shared" ref="D32:M32" si="14">D31/C31-1</f>
        <v>#DIV/0!</v>
      </c>
      <c r="E32" s="33" t="e">
        <f t="shared" si="14"/>
        <v>#DIV/0!</v>
      </c>
      <c r="F32" s="33" t="e">
        <f t="shared" si="14"/>
        <v>#DIV/0!</v>
      </c>
      <c r="G32" s="33" t="e">
        <f t="shared" si="14"/>
        <v>#DIV/0!</v>
      </c>
      <c r="H32" s="33" t="e">
        <f t="shared" si="14"/>
        <v>#DIV/0!</v>
      </c>
      <c r="I32" s="33" t="e">
        <f t="shared" si="14"/>
        <v>#DIV/0!</v>
      </c>
      <c r="J32" s="33" t="e">
        <f t="shared" si="14"/>
        <v>#DIV/0!</v>
      </c>
      <c r="K32" s="33" t="e">
        <f t="shared" si="14"/>
        <v>#DIV/0!</v>
      </c>
      <c r="L32" s="33" t="e">
        <f t="shared" si="14"/>
        <v>#DIV/0!</v>
      </c>
      <c r="M32" s="34" t="e">
        <f t="shared" si="14"/>
        <v>#DIV/0!</v>
      </c>
    </row>
    <row r="33" spans="1:13" x14ac:dyDescent="0.2">
      <c r="A33" s="71" t="s">
        <v>39</v>
      </c>
      <c r="B33" s="72"/>
      <c r="C33" s="84"/>
      <c r="D33" s="35" t="e">
        <f t="shared" ref="D33:M33" si="15">C33*(D32/100+1)</f>
        <v>#DIV/0!</v>
      </c>
      <c r="E33" s="35" t="e">
        <f t="shared" si="15"/>
        <v>#DIV/0!</v>
      </c>
      <c r="F33" s="35" t="e">
        <f t="shared" si="15"/>
        <v>#DIV/0!</v>
      </c>
      <c r="G33" s="35" t="e">
        <f t="shared" si="15"/>
        <v>#DIV/0!</v>
      </c>
      <c r="H33" s="35" t="e">
        <f t="shared" si="15"/>
        <v>#DIV/0!</v>
      </c>
      <c r="I33" s="35" t="e">
        <f t="shared" si="15"/>
        <v>#DIV/0!</v>
      </c>
      <c r="J33" s="35" t="e">
        <f t="shared" si="15"/>
        <v>#DIV/0!</v>
      </c>
      <c r="K33" s="35" t="e">
        <f t="shared" si="15"/>
        <v>#DIV/0!</v>
      </c>
      <c r="L33" s="35" t="e">
        <f t="shared" si="15"/>
        <v>#DIV/0!</v>
      </c>
      <c r="M33" s="36" t="e">
        <f t="shared" si="15"/>
        <v>#DIV/0!</v>
      </c>
    </row>
    <row r="34" spans="1:13" ht="13.5" thickBot="1" x14ac:dyDescent="0.25">
      <c r="A34" s="73" t="s">
        <v>39</v>
      </c>
      <c r="B34" s="74" t="s">
        <v>38</v>
      </c>
      <c r="C34" s="85"/>
      <c r="D34" s="39" t="e">
        <f t="shared" ref="D34:M34" si="16">D33-1</f>
        <v>#DIV/0!</v>
      </c>
      <c r="E34" s="39" t="e">
        <f t="shared" si="16"/>
        <v>#DIV/0!</v>
      </c>
      <c r="F34" s="39" t="e">
        <f t="shared" si="16"/>
        <v>#DIV/0!</v>
      </c>
      <c r="G34" s="39" t="e">
        <f t="shared" si="16"/>
        <v>#DIV/0!</v>
      </c>
      <c r="H34" s="39" t="e">
        <f t="shared" si="16"/>
        <v>#DIV/0!</v>
      </c>
      <c r="I34" s="39" t="e">
        <f t="shared" si="16"/>
        <v>#DIV/0!</v>
      </c>
      <c r="J34" s="39" t="e">
        <f t="shared" si="16"/>
        <v>#DIV/0!</v>
      </c>
      <c r="K34" s="39" t="e">
        <f t="shared" si="16"/>
        <v>#DIV/0!</v>
      </c>
      <c r="L34" s="39" t="e">
        <f t="shared" si="16"/>
        <v>#DIV/0!</v>
      </c>
      <c r="M34" s="40" t="e">
        <f t="shared" si="16"/>
        <v>#DIV/0!</v>
      </c>
    </row>
  </sheetData>
  <mergeCells count="1">
    <mergeCell ref="B1:M1"/>
  </mergeCells>
  <phoneticPr fontId="0" type="noConversion"/>
  <pageMargins left="0.2" right="0.04" top="1.0527777777777778" bottom="1.0527777777777778" header="0.78749999999999998" footer="0.78749999999999998"/>
  <pageSetup paperSize="9" orientation="portrait" horizontalDpi="300" verticalDpi="300" r:id="rId1"/>
  <headerFooter alignWithMargins="0">
    <oddHeader>&amp;C&amp;"Terminal,Regular"&amp;12EBTTDA</oddHead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zoomScaleNormal="100" workbookViewId="0"/>
  </sheetViews>
  <sheetFormatPr defaultColWidth="11.5703125" defaultRowHeight="12.75" x14ac:dyDescent="0.2"/>
  <sheetData/>
  <phoneticPr fontId="0" type="noConversion"/>
  <pageMargins left="0.78749999999999998" right="0.78749999999999998" top="1.0527777777777778" bottom="1.0527777777777778" header="0.78749999999999998" footer="0.78749999999999998"/>
  <pageSetup paperSize="9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10</vt:i4>
      </vt:variant>
      <vt:variant>
        <vt:lpstr>Intervalos Nomeados</vt:lpstr>
      </vt:variant>
      <vt:variant>
        <vt:i4>8</vt:i4>
      </vt:variant>
    </vt:vector>
  </HeadingPairs>
  <TitlesOfParts>
    <vt:vector size="18" baseType="lpstr">
      <vt:lpstr>2010</vt:lpstr>
      <vt:lpstr>2010 atual</vt:lpstr>
      <vt:lpstr>2011 mesal </vt:lpstr>
      <vt:lpstr>2011 acumulada</vt:lpstr>
      <vt:lpstr>2014 acumulada</vt:lpstr>
      <vt:lpstr>2015Acumulada</vt:lpstr>
      <vt:lpstr>2016 Acumulada</vt:lpstr>
      <vt:lpstr>2017 Acumulada </vt:lpstr>
      <vt:lpstr>Planilha2</vt:lpstr>
      <vt:lpstr>Planilha3</vt:lpstr>
      <vt:lpstr>'2010 atual'!Area_de_impressao</vt:lpstr>
      <vt:lpstr>'2011 acumulada'!Area_de_impressao</vt:lpstr>
      <vt:lpstr>'2011 mesal '!Area_de_impressao</vt:lpstr>
      <vt:lpstr>'2014 acumulada'!Area_de_impressao</vt:lpstr>
      <vt:lpstr>'2015Acumulada'!Area_de_impressao</vt:lpstr>
      <vt:lpstr>'2016 Acumulada'!Area_de_impressao</vt:lpstr>
      <vt:lpstr>'2017 Acumulada '!Area_de_impressao</vt:lpstr>
      <vt:lpstr>Planilha2!Area_de_impressao</vt:lpstr>
    </vt:vector>
  </TitlesOfParts>
  <Company>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Gerson Ferreira</cp:lastModifiedBy>
  <cp:lastPrinted>2018-01-10T22:22:02Z</cp:lastPrinted>
  <dcterms:created xsi:type="dcterms:W3CDTF">2010-03-17T12:23:27Z</dcterms:created>
  <dcterms:modified xsi:type="dcterms:W3CDTF">2018-01-10T22:22:21Z</dcterms:modified>
</cp:coreProperties>
</file>